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/>
  <mc:AlternateContent xmlns:mc="http://schemas.openxmlformats.org/markup-compatibility/2006">
    <mc:Choice Requires="x15">
      <x15ac:absPath xmlns:x15ac="http://schemas.microsoft.com/office/spreadsheetml/2010/11/ac" url="D:\Green Financing\"/>
    </mc:Choice>
  </mc:AlternateContent>
  <xr:revisionPtr revIDLastSave="0" documentId="13_ncr:1_{4060A79D-0C14-40D5-B56F-6593E8ED3CCB}" xr6:coauthVersionLast="36" xr6:coauthVersionMax="47" xr10:uidLastSave="{00000000-0000-0000-0000-000000000000}"/>
  <workbookProtection workbookAlgorithmName="SHA-512" workbookHashValue="z+Uan/o0VWgf61/byyk2jiI7iXT9y8j0N9+vqR1k60oHwTzpTjOCORKh0cqv6gEj8B1psb7SrxYMO3cnCW8NmA==" workbookSaltValue="Vllnh37rYyt4cWOPHoKezA==" workbookSpinCount="100000" lockStructure="1"/>
  <bookViews>
    <workbookView xWindow="0" yWindow="0" windowWidth="15345" windowHeight="2280" xr2:uid="{00000000-000D-0000-FFFF-FFFF00000000}"/>
  </bookViews>
  <sheets>
    <sheet name="Solar Calculator" sheetId="2" r:id="rId1"/>
    <sheet name="Solar Calculator Formula" sheetId="9" state="hidden" r:id="rId2"/>
    <sheet name="Package" sheetId="10" state="hidden" r:id="rId3"/>
    <sheet name="Solar Table" sheetId="11" state="hidden" r:id="rId4"/>
    <sheet name="draft 1" sheetId="8" state="hidden" r:id="rId5"/>
    <sheet name="Note" sheetId="1" state="hidden" r:id="rId6"/>
    <sheet name="Sheet2" sheetId="5" state="hidden" r:id="rId7"/>
    <sheet name="Financial Plan" sheetId="6" state="hidden" r:id="rId8"/>
  </sheets>
  <externalReferences>
    <externalReference r:id="rId9"/>
  </externalReferences>
  <definedNames>
    <definedName name="ListC">'Financial Plan'!$B$3:$B$5</definedName>
    <definedName name="ListCharge">'Financial Plan'!$B$3:$B$6</definedName>
    <definedName name="ListP">'Financial Plan'!$A$3:$A$6</definedName>
    <definedName name="ListPhase">'Financial Plan'!$A$3:$A$6</definedName>
    <definedName name="ListRate" localSheetId="3">'[1]Solar Calculator RM'!#REF!</definedName>
    <definedName name="ListRate">'Solar Calculator'!$J$5:$J$6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C60" i="9" s="1"/>
  <c r="D6" i="2" s="1"/>
  <c r="C24" i="9" s="1"/>
  <c r="G9" i="11"/>
  <c r="G11" i="11"/>
  <c r="G13" i="11"/>
  <c r="G15" i="9"/>
  <c r="F15" i="9"/>
  <c r="D14" i="9"/>
  <c r="E14" i="9"/>
  <c r="E16" i="9" s="1"/>
  <c r="E17" i="9" s="1"/>
  <c r="F14" i="9"/>
  <c r="G14" i="9"/>
  <c r="C14" i="9"/>
  <c r="D13" i="9"/>
  <c r="E13" i="9"/>
  <c r="F13" i="9"/>
  <c r="G13" i="9"/>
  <c r="C13" i="9"/>
  <c r="C28" i="9" a="1"/>
  <c r="C28" i="9" s="1"/>
  <c r="D16" i="9"/>
  <c r="D17" i="9" s="1"/>
  <c r="C25" i="9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3" i="10"/>
  <c r="L3" i="10"/>
  <c r="P3" i="10" s="1"/>
  <c r="L4" i="10"/>
  <c r="N4" i="10" s="1"/>
  <c r="L5" i="10"/>
  <c r="N5" i="10" s="1"/>
  <c r="L6" i="10"/>
  <c r="N6" i="10" s="1"/>
  <c r="L7" i="10"/>
  <c r="N7" i="10" s="1"/>
  <c r="L8" i="10"/>
  <c r="N8" i="10" s="1"/>
  <c r="L9" i="10"/>
  <c r="N9" i="10" s="1"/>
  <c r="L10" i="10"/>
  <c r="N10" i="10" s="1"/>
  <c r="L11" i="10"/>
  <c r="N11" i="10" s="1"/>
  <c r="L12" i="10"/>
  <c r="N12" i="10" s="1"/>
  <c r="L13" i="10"/>
  <c r="N13" i="10" s="1"/>
  <c r="L14" i="10"/>
  <c r="N14" i="10" s="1"/>
  <c r="L15" i="10"/>
  <c r="N15" i="10" s="1"/>
  <c r="L16" i="10"/>
  <c r="N16" i="10" s="1"/>
  <c r="L17" i="10"/>
  <c r="N17" i="10" s="1"/>
  <c r="L18" i="10"/>
  <c r="P18" i="10" s="1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3" i="10"/>
  <c r="G1" i="10"/>
  <c r="G4" i="10" s="1"/>
  <c r="H4" i="10" s="1"/>
  <c r="D18" i="9"/>
  <c r="E18" i="9" s="1"/>
  <c r="F18" i="9" s="1"/>
  <c r="D16" i="2" l="1"/>
  <c r="C27" i="9"/>
  <c r="C16" i="9"/>
  <c r="C17" i="9" s="1"/>
  <c r="F16" i="9"/>
  <c r="F17" i="9" s="1"/>
  <c r="G19" i="9" s="1"/>
  <c r="G16" i="9"/>
  <c r="F19" i="9"/>
  <c r="E19" i="9"/>
  <c r="D19" i="9"/>
  <c r="C26" i="9"/>
  <c r="C33" i="9" s="1"/>
  <c r="N18" i="10"/>
  <c r="N3" i="10"/>
  <c r="I4" i="10"/>
  <c r="P17" i="10"/>
  <c r="P16" i="10"/>
  <c r="P15" i="10"/>
  <c r="P9" i="10"/>
  <c r="P8" i="10"/>
  <c r="P7" i="10"/>
  <c r="P14" i="10"/>
  <c r="P6" i="10"/>
  <c r="P5" i="10"/>
  <c r="P4" i="10"/>
  <c r="P11" i="10"/>
  <c r="P13" i="10"/>
  <c r="P12" i="10"/>
  <c r="P10" i="10"/>
  <c r="G7" i="10"/>
  <c r="G3" i="10"/>
  <c r="G14" i="10"/>
  <c r="G13" i="10"/>
  <c r="G10" i="10"/>
  <c r="G9" i="10"/>
  <c r="G8" i="10"/>
  <c r="G12" i="10"/>
  <c r="G11" i="10"/>
  <c r="G18" i="10"/>
  <c r="G17" i="10"/>
  <c r="G16" i="10"/>
  <c r="G15" i="10"/>
  <c r="G6" i="10"/>
  <c r="G5" i="10"/>
  <c r="D17" i="2" l="1"/>
  <c r="D19" i="2" s="1"/>
  <c r="D23" i="2" s="1"/>
  <c r="C29" i="9"/>
  <c r="C5" i="9"/>
  <c r="G20" i="9"/>
  <c r="H8" i="10"/>
  <c r="I8" i="10"/>
  <c r="H6" i="10"/>
  <c r="I6" i="10"/>
  <c r="H15" i="10"/>
  <c r="I15" i="10"/>
  <c r="H10" i="10"/>
  <c r="I10" i="10"/>
  <c r="H11" i="10"/>
  <c r="I11" i="10"/>
  <c r="H12" i="10"/>
  <c r="I12" i="10"/>
  <c r="H5" i="10"/>
  <c r="I5" i="10"/>
  <c r="H9" i="10"/>
  <c r="I9" i="10"/>
  <c r="H16" i="10"/>
  <c r="I16" i="10"/>
  <c r="H13" i="10"/>
  <c r="I13" i="10"/>
  <c r="H3" i="10"/>
  <c r="I3" i="10"/>
  <c r="H17" i="10"/>
  <c r="I17" i="10"/>
  <c r="H14" i="10"/>
  <c r="I14" i="10"/>
  <c r="H7" i="10"/>
  <c r="I7" i="10"/>
  <c r="H18" i="10"/>
  <c r="I18" i="10"/>
  <c r="C3" i="8" l="1"/>
  <c r="C5" i="8" l="1"/>
  <c r="C23" i="8" s="1"/>
  <c r="C36" i="8" l="1"/>
  <c r="C47" i="8" s="1"/>
  <c r="D9" i="2"/>
  <c r="C7" i="8"/>
  <c r="C48" i="8" l="1"/>
  <c r="C25" i="8" l="1"/>
  <c r="C12" i="8"/>
  <c r="C22" i="8" s="1"/>
  <c r="D61" i="1"/>
  <c r="D41" i="1"/>
  <c r="D42" i="1" s="1"/>
  <c r="D43" i="1" s="1"/>
  <c r="C13" i="8" l="1"/>
  <c r="C15" i="8" s="1"/>
  <c r="C17" i="8"/>
  <c r="C11" i="8"/>
  <c r="D22" i="1"/>
  <c r="D57" i="1"/>
  <c r="D62" i="1" s="1"/>
  <c r="D47" i="1"/>
  <c r="D49" i="1" s="1"/>
  <c r="D29" i="1"/>
  <c r="C18" i="8" l="1"/>
  <c r="C37" i="8" s="1"/>
  <c r="C38" i="8" s="1"/>
  <c r="C54" i="8" s="1"/>
  <c r="C24" i="8"/>
  <c r="C75" i="8"/>
  <c r="D27" i="1"/>
  <c r="D25" i="1"/>
  <c r="D24" i="1"/>
  <c r="D26" i="1" s="1"/>
  <c r="D28" i="1" s="1"/>
  <c r="D30" i="1" s="1"/>
  <c r="D31" i="1" s="1"/>
  <c r="D23" i="1"/>
  <c r="C26" i="8" l="1"/>
  <c r="C43" i="8"/>
  <c r="C45" i="8" s="1"/>
  <c r="D33" i="1"/>
  <c r="C27" i="8" l="1"/>
  <c r="C46" i="8" s="1"/>
  <c r="D50" i="1"/>
  <c r="C49" i="8" l="1"/>
  <c r="C50" i="8" s="1"/>
  <c r="C59" i="8"/>
  <c r="C56" i="8"/>
  <c r="C58" i="8" s="1"/>
  <c r="D51" i="1"/>
  <c r="C60" i="8" l="1"/>
  <c r="D52" i="1"/>
  <c r="D53" i="1" l="1"/>
  <c r="C35" i="9" l="1"/>
  <c r="C32" i="9"/>
  <c r="C34" i="9" s="1"/>
  <c r="C6" i="9" l="1"/>
  <c r="C36" i="9"/>
  <c r="C37" i="9" l="1"/>
  <c r="D10" i="2"/>
  <c r="C39" i="9" l="1"/>
  <c r="D11" i="2"/>
  <c r="C38" i="9"/>
  <c r="C40" i="9" l="1"/>
  <c r="D12" i="2"/>
  <c r="D13" i="2"/>
  <c r="D20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<sst xmlns="http://schemas.openxmlformats.org/spreadsheetml/2006/main" count="374" uniqueCount="289">
  <si>
    <t>Average monthly electricity bill</t>
  </si>
  <si>
    <t>Total yearly saving</t>
  </si>
  <si>
    <t>Bill before solar</t>
  </si>
  <si>
    <t>kWp</t>
  </si>
  <si>
    <t>EPCC Rate (PV)
-RM 3
-RM 3.50
-RM 4
-RM 4.50</t>
  </si>
  <si>
    <t>Residential Energy Saving Calculator</t>
  </si>
  <si>
    <t>Bill for a month after solar</t>
  </si>
  <si>
    <t>Saving Info by phase</t>
  </si>
  <si>
    <t>Solar Residential Formula</t>
  </si>
  <si>
    <t>Payback period/Payment terms</t>
  </si>
  <si>
    <t>First 200 kWh (1-200 kWh) :</t>
  </si>
  <si>
    <t>Next 901 kWh onwards :</t>
  </si>
  <si>
    <t>First 100 kWh (201-300 kWh) :</t>
  </si>
  <si>
    <t>First 300 kWh (301-600 kWh) :</t>
  </si>
  <si>
    <t>First 300 kWh (601-900 kWh) :</t>
  </si>
  <si>
    <t xml:space="preserve">kWh balance : </t>
  </si>
  <si>
    <t>Estimated Bill :</t>
  </si>
  <si>
    <t>Total Consumption (kWh)</t>
  </si>
  <si>
    <t>&lt;600 : 200;100;300</t>
  </si>
  <si>
    <t>&lt;900 : 200;100;300;300</t>
  </si>
  <si>
    <t>Tax 6% :</t>
  </si>
  <si>
    <t>Total Bill inc Tax :</t>
  </si>
  <si>
    <t>Charge</t>
  </si>
  <si>
    <t>Usage</t>
  </si>
  <si>
    <t>kWh</t>
  </si>
  <si>
    <t>on-peak</t>
  </si>
  <si>
    <t>off-peak</t>
  </si>
  <si>
    <t>Demand</t>
  </si>
  <si>
    <t xml:space="preserve"> </t>
  </si>
  <si>
    <t>aaaaaaaaaaaaaaaaaaaaaaaaaaaaaaaaaaa</t>
  </si>
  <si>
    <t>Account No</t>
  </si>
  <si>
    <t xml:space="preserve">Address </t>
  </si>
  <si>
    <t>Reminder</t>
  </si>
  <si>
    <t>First Reminder</t>
  </si>
  <si>
    <t>aaaaaaaaaaaaaaaaaaaaaaaa</t>
  </si>
  <si>
    <t>aaaaaaaaaaaaaaaaaaaaaaaaaaaaaaaaaaaaaaaaaaaaaaaaaaaaaaaaaaaaaaaaaaaaaa</t>
  </si>
  <si>
    <t>aaaaaaaaaaaaaaaaaaaaaaaaaaaaaaaaaaaaaaaaaaaaaaaaaaaaaaaaaaaaaaaaaaaaaaaaa</t>
  </si>
  <si>
    <t>Invoice No</t>
  </si>
  <si>
    <t>Meter Serial No</t>
  </si>
  <si>
    <t>Amount Due</t>
  </si>
  <si>
    <t>aaaaaaaaaaaaaaaaaaaaaaaaaaaaaaaaaaaaaaaaaaaaaaaaaaaaaaaaaaaaaaaaaaaaaaaaaaaaaaaaaaaaa</t>
  </si>
  <si>
    <t>Payment</t>
  </si>
  <si>
    <t>Home type</t>
  </si>
  <si>
    <t>Capacity x EPCC rate + O&amp;M Fee = Solar Plan</t>
  </si>
  <si>
    <t>Environmental Impact with solar</t>
  </si>
  <si>
    <t>Solar Saving Plan Formula</t>
  </si>
  <si>
    <t xml:space="preserve">Estimate Capacity based on consumption and solar installation size </t>
  </si>
  <si>
    <t>Consumption Calculator kWh to RM</t>
  </si>
  <si>
    <t>solar installation size / capacity based on input</t>
  </si>
  <si>
    <t>Estimated Solar Financing Plan</t>
  </si>
  <si>
    <t>electric bill/30/24</t>
  </si>
  <si>
    <t>1,000 kWh of electricity per month X a utility billing rate of $0.15 per kWh = $150 in monthly savings.</t>
  </si>
  <si>
    <t>(Watt x Hr)/100</t>
  </si>
  <si>
    <t>Passenger cars</t>
  </si>
  <si>
    <t>EPCC Rate</t>
  </si>
  <si>
    <t>Phase</t>
  </si>
  <si>
    <t>System Price</t>
  </si>
  <si>
    <t>System Size</t>
  </si>
  <si>
    <t>kWH</t>
  </si>
  <si>
    <t>Unit</t>
  </si>
  <si>
    <t>Key in</t>
  </si>
  <si>
    <t>Rate = 0.221</t>
  </si>
  <si>
    <t>Carbon Dioxide Equivalent</t>
  </si>
  <si>
    <t>Enter Your Detail</t>
  </si>
  <si>
    <t>Monthly Electricity Bill / RM</t>
  </si>
  <si>
    <t>Bill before solar / RM</t>
  </si>
  <si>
    <t>3 Phase type</t>
  </si>
  <si>
    <t>O&amp;M Fee (X Year x O&amp;M rate)</t>
  </si>
  <si>
    <t>Estimate saving plan</t>
  </si>
  <si>
    <t>Total yearly save</t>
  </si>
  <si>
    <t>Utility billing rate per kwh</t>
  </si>
  <si>
    <t>Bill for a month after using solar month</t>
  </si>
  <si>
    <t>Solar monthly saving</t>
  </si>
  <si>
    <t>Environmential Impact</t>
  </si>
  <si>
    <t>Tree seeding</t>
  </si>
  <si>
    <t>O&amp;M year</t>
  </si>
  <si>
    <t>O&amp;M Rate</t>
  </si>
  <si>
    <t>Electrcity bill x utility rate</t>
  </si>
  <si>
    <t>Previous Bill - solar saving</t>
  </si>
  <si>
    <t>Bill after solar per month x 12 month</t>
  </si>
  <si>
    <t>Capacity x EPCC rate + O&amp;M Fee</t>
  </si>
  <si>
    <t xml:space="preserve">outright purchase/ </t>
  </si>
  <si>
    <t>Different plan by phase</t>
  </si>
  <si>
    <t>Solar saving</t>
  </si>
  <si>
    <t>Solar panel watts</t>
  </si>
  <si>
    <t>Output per Solar Panel kWH</t>
  </si>
  <si>
    <t>Solar System Size</t>
  </si>
  <si>
    <t>sun peak hour</t>
  </si>
  <si>
    <t>Energy Usage kwh</t>
  </si>
  <si>
    <t>1 kW of solar will produce 120 kWh of electricity per month. </t>
  </si>
  <si>
    <t>estimated system size kWH</t>
  </si>
  <si>
    <t>7 kw = 840 kwh per month</t>
  </si>
  <si>
    <t>PV System kwh per month</t>
  </si>
  <si>
    <t>Annual saving with warranty</t>
  </si>
  <si>
    <t>*confirmkan</t>
  </si>
  <si>
    <t>*confirmkan warranty period</t>
  </si>
  <si>
    <t>*each phase is different / 3 phase</t>
  </si>
  <si>
    <t>*ada 4 rate</t>
  </si>
  <si>
    <t>*depend on capacity size</t>
  </si>
  <si>
    <t>Estimated capacity size</t>
  </si>
  <si>
    <t>*depend on capacity size/phase</t>
  </si>
  <si>
    <t>O&amp;M fee</t>
  </si>
  <si>
    <t>Malakoff Radiance plan</t>
  </si>
  <si>
    <t>*Capacity x EPCC rate + O&amp;M Fee</t>
  </si>
  <si>
    <t>Payment Terms / Payback methd</t>
  </si>
  <si>
    <t>Phase : Phase 1</t>
  </si>
  <si>
    <t>Phase : Phase 2</t>
  </si>
  <si>
    <t>Phase : Phase 3</t>
  </si>
  <si>
    <t>Solar Pv Financial Quotation</t>
  </si>
  <si>
    <t>Material Price</t>
  </si>
  <si>
    <t>Profit margin</t>
  </si>
  <si>
    <t>Client Electricity Bill</t>
  </si>
  <si>
    <t>Monthly Bill</t>
  </si>
  <si>
    <t>bill per day</t>
  </si>
  <si>
    <t>Tnb Tariff</t>
  </si>
  <si>
    <t>Solar Effective Hours</t>
  </si>
  <si>
    <t>Estimated Capacity kwp</t>
  </si>
  <si>
    <t>Solar Quotation to client</t>
  </si>
  <si>
    <t>O&amp;M Warranty Year</t>
  </si>
  <si>
    <t>Installation Price</t>
  </si>
  <si>
    <t>O&amp;M Fee</t>
  </si>
  <si>
    <t>sun peak hour per month</t>
  </si>
  <si>
    <t>sun peak hour per day</t>
  </si>
  <si>
    <t>Energy Produce kwh per yearly</t>
  </si>
  <si>
    <t>Energy produce kwh per day</t>
  </si>
  <si>
    <t>Energy Produce kwh per month</t>
  </si>
  <si>
    <t>Solar PV Energy Produce Detail</t>
  </si>
  <si>
    <t>Solar saving plan</t>
  </si>
  <si>
    <t>System size Watt</t>
  </si>
  <si>
    <t>Solar Panel qty</t>
  </si>
  <si>
    <t>Panel Quantity</t>
  </si>
  <si>
    <t>Payback Period</t>
  </si>
  <si>
    <t>Gross cost of system</t>
  </si>
  <si>
    <t>Tax</t>
  </si>
  <si>
    <t>Total</t>
  </si>
  <si>
    <t>Saving Per Year</t>
  </si>
  <si>
    <t>Maintenance cost per year</t>
  </si>
  <si>
    <t>Maintainance Cost Month</t>
  </si>
  <si>
    <t>Solar Payback Period</t>
  </si>
  <si>
    <t>System price / no tax</t>
  </si>
  <si>
    <t>Solar System price inc Tax</t>
  </si>
  <si>
    <t xml:space="preserve">Tax </t>
  </si>
  <si>
    <t>Payback Period / Year</t>
  </si>
  <si>
    <t>Payback Period Year</t>
  </si>
  <si>
    <t>Rebates</t>
  </si>
  <si>
    <t>Investment Rm</t>
  </si>
  <si>
    <t>opt 1</t>
  </si>
  <si>
    <t>opt 2</t>
  </si>
  <si>
    <t>Tariff rate</t>
  </si>
  <si>
    <t>Tier / kWh</t>
  </si>
  <si>
    <t>0-200</t>
  </si>
  <si>
    <t>201-300</t>
  </si>
  <si>
    <t>301-600</t>
  </si>
  <si>
    <t>601-900</t>
  </si>
  <si>
    <t>onward 900</t>
  </si>
  <si>
    <t>in percentage</t>
  </si>
  <si>
    <t>input</t>
  </si>
  <si>
    <t>Upfront payment</t>
  </si>
  <si>
    <t>TNB Bill</t>
  </si>
  <si>
    <t>RM/month</t>
  </si>
  <si>
    <t>kWh/month</t>
  </si>
  <si>
    <t>kWh Block</t>
  </si>
  <si>
    <t>&gt;900</t>
  </si>
  <si>
    <t>RM/kWh</t>
  </si>
  <si>
    <t>done betulkan</t>
  </si>
  <si>
    <t>Solar Capacity / kW</t>
  </si>
  <si>
    <t>Solar Generation Month / kWh</t>
  </si>
  <si>
    <t>Check</t>
  </si>
  <si>
    <t>Total Solar System Price</t>
  </si>
  <si>
    <t xml:space="preserve">TNB Bill up to (RM) </t>
  </si>
  <si>
    <t xml:space="preserve"> Solar PV Size (kW)</t>
  </si>
  <si>
    <t>Your New TNB Bill (RM)</t>
  </si>
  <si>
    <t>Solar PV Price</t>
  </si>
  <si>
    <t>Potential Saving</t>
  </si>
  <si>
    <t>Payback</t>
  </si>
  <si>
    <t>Rooftop Area</t>
  </si>
  <si>
    <t>&lt; 100</t>
  </si>
  <si>
    <t>10m2</t>
  </si>
  <si>
    <t>100 - 200</t>
  </si>
  <si>
    <t>29 - 92</t>
  </si>
  <si>
    <t>71 - 108</t>
  </si>
  <si>
    <t>150 - 250</t>
  </si>
  <si>
    <t>15m2</t>
  </si>
  <si>
    <t>200 -300</t>
  </si>
  <si>
    <t>20m2</t>
  </si>
  <si>
    <t>250 - 350</t>
  </si>
  <si>
    <t>25m2</t>
  </si>
  <si>
    <t>300 - 400</t>
  </si>
  <si>
    <t>30m2</t>
  </si>
  <si>
    <t>350 - 450</t>
  </si>
  <si>
    <t>35m2</t>
  </si>
  <si>
    <t>400 - 500</t>
  </si>
  <si>
    <t>40m2</t>
  </si>
  <si>
    <t>45m2</t>
  </si>
  <si>
    <t>50m2</t>
  </si>
  <si>
    <t>55m2</t>
  </si>
  <si>
    <t>60m2</t>
  </si>
  <si>
    <t>Energy Consumed</t>
  </si>
  <si>
    <t xml:space="preserve">Solar Energy </t>
  </si>
  <si>
    <t xml:space="preserve">TNB Import </t>
  </si>
  <si>
    <t>Current TNB Bill</t>
  </si>
  <si>
    <t>Savings Calculation</t>
  </si>
  <si>
    <t>Monthly Solar Generation / kWh</t>
  </si>
  <si>
    <t>TNB Import Energy / kWh</t>
  </si>
  <si>
    <t>TNB Domestic Tariff A</t>
  </si>
  <si>
    <t xml:space="preserve">Tier </t>
  </si>
  <si>
    <t>Monthly Yield  kWh/kWp</t>
  </si>
  <si>
    <t>kWh/kWp/month</t>
  </si>
  <si>
    <t>Estimated Annual Savings</t>
  </si>
  <si>
    <t xml:space="preserve">Package Price </t>
  </si>
  <si>
    <t>ROI</t>
  </si>
  <si>
    <t>Payback / ROI</t>
  </si>
  <si>
    <t xml:space="preserve">TNB Bill (RM) </t>
  </si>
  <si>
    <t xml:space="preserve"> New TNB Bill (RM)</t>
  </si>
  <si>
    <t>Savings</t>
  </si>
  <si>
    <t xml:space="preserve">Savings </t>
  </si>
  <si>
    <t>Monthly Energy Consumed / kWh</t>
  </si>
  <si>
    <t>Estimated Monthly Savings</t>
  </si>
  <si>
    <t>Years</t>
  </si>
  <si>
    <t>KWTBB</t>
  </si>
  <si>
    <t>Total kWh (Check)</t>
  </si>
  <si>
    <t xml:space="preserve">Solar PV System Package Plan </t>
  </si>
  <si>
    <t>Capacity (kWp)</t>
  </si>
  <si>
    <t>Package Price</t>
  </si>
  <si>
    <t>Estimated Savings / RM</t>
  </si>
  <si>
    <t>Estimated Yearly Savings / RM</t>
  </si>
  <si>
    <t>Savings (%)</t>
  </si>
  <si>
    <t>Solar Capacity / kWp</t>
  </si>
  <si>
    <t>Solar PV Installation</t>
  </si>
  <si>
    <t xml:space="preserve">Estimated Bill after using solar </t>
  </si>
  <si>
    <t>Estimated Bill after using solar / RM</t>
  </si>
  <si>
    <t>Estimated Savings (%)</t>
  </si>
  <si>
    <t>Discount / Additional Charge</t>
  </si>
  <si>
    <t xml:space="preserve">Total Price </t>
  </si>
  <si>
    <t>ST (6%)</t>
  </si>
  <si>
    <t xml:space="preserve">ICPT </t>
  </si>
  <si>
    <t>RM per block</t>
  </si>
  <si>
    <t>kWh (Cummulative)</t>
  </si>
  <si>
    <t>RM (Cummulative)</t>
  </si>
  <si>
    <t>Rate</t>
  </si>
  <si>
    <t>&gt; 900</t>
  </si>
  <si>
    <t>686 - 705</t>
  </si>
  <si>
    <t>64 - 195</t>
  </si>
  <si>
    <t xml:space="preserve">750 - 900 </t>
  </si>
  <si>
    <t>608 - 643</t>
  </si>
  <si>
    <t>42 - 157</t>
  </si>
  <si>
    <t>650 - 800</t>
  </si>
  <si>
    <t>524 - 580</t>
  </si>
  <si>
    <t>26 - 120</t>
  </si>
  <si>
    <t>550 - 700</t>
  </si>
  <si>
    <t>440 - 515</t>
  </si>
  <si>
    <t>10 - 85</t>
  </si>
  <si>
    <t>450 - 600</t>
  </si>
  <si>
    <t>385 - 440</t>
  </si>
  <si>
    <t>15 - 60</t>
  </si>
  <si>
    <t>332 - 385</t>
  </si>
  <si>
    <t>18 - 65</t>
  </si>
  <si>
    <t>280 - 330</t>
  </si>
  <si>
    <t>20 - 70</t>
  </si>
  <si>
    <t>227 - 275</t>
  </si>
  <si>
    <t>23 - 75</t>
  </si>
  <si>
    <t>175 - 220</t>
  </si>
  <si>
    <t>25 - 80</t>
  </si>
  <si>
    <t>123 - 164</t>
  </si>
  <si>
    <t>27 - 86</t>
  </si>
  <si>
    <t>Estimated Saving Plan</t>
  </si>
  <si>
    <t>RADIANCEHome SOLAR HOME SOLUTIONS CALCULATOR</t>
  </si>
  <si>
    <t>Remarks</t>
  </si>
  <si>
    <t xml:space="preserve">If negative savings </t>
  </si>
  <si>
    <t xml:space="preserve">If positive savings </t>
  </si>
  <si>
    <t>*Please select lower Solar Capacity kWp</t>
  </si>
  <si>
    <t>OK!</t>
  </si>
  <si>
    <t>Monthly Installment</t>
  </si>
  <si>
    <t xml:space="preserve">Installment Plan </t>
  </si>
  <si>
    <t>%</t>
  </si>
  <si>
    <t>Please define installment period</t>
  </si>
  <si>
    <t xml:space="preserve">Profit Rate per Annum </t>
  </si>
  <si>
    <t>Please define profit rate</t>
  </si>
  <si>
    <t xml:space="preserve">BMMB to enter the formula </t>
  </si>
  <si>
    <t xml:space="preserve">Enter your estimated monthly TNB Bill </t>
  </si>
  <si>
    <t>Notes</t>
  </si>
  <si>
    <t xml:space="preserve">Enter applicable amount </t>
  </si>
  <si>
    <t xml:space="preserve">Default Capacity </t>
  </si>
  <si>
    <t>Suggested Solar PV Capacity</t>
  </si>
  <si>
    <t>(Discount) / Additional (if  any)</t>
  </si>
  <si>
    <t>RM</t>
  </si>
  <si>
    <t>Months</t>
  </si>
  <si>
    <t xml:space="preserve">Unit 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</si>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</sst>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RM&quot;#,##0.00"/>
    <numFmt numFmtId="166" formatCode="_-* #,##0_-;\-* #,##0_-;_-* &quot;-&quot;??_-;_-@_-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rgb="FF1B1B1B"/>
      <name val="Arial"/>
      <family val="2"/>
    </font>
    <font>
      <sz val="11"/>
      <color rgb="FF2C3E5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9" borderId="31" applyNumberFormat="0" applyAlignment="0" applyProtection="0"/>
    <xf numFmtId="0" fontId="15" fillId="10" borderId="32" applyNumberFormat="0" applyAlignment="0" applyProtection="0"/>
    <xf numFmtId="0" fontId="16" fillId="10" borderId="31" applyNumberFormat="0" applyAlignment="0" applyProtection="0"/>
    <xf numFmtId="0" fontId="9" fillId="11" borderId="35" applyNumberFormat="0" applyFont="0" applyAlignment="0" applyProtection="0"/>
  </cellStyleXfs>
  <cellXfs count="192">
    <xf numFmtId="0" fontId="0" fillId="0" borderId="0" xfId="0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 vertical="center"/>
    </xf>
    <xf numFmtId="0" fontId="7" fillId="0" borderId="0" xfId="0" applyFont="1"/>
    <xf numFmtId="0" fontId="0" fillId="5" borderId="16" xfId="0" applyFill="1" applyBorder="1"/>
    <xf numFmtId="0" fontId="0" fillId="5" borderId="16" xfId="0" applyFill="1" applyBorder="1" applyAlignment="1">
      <alignment horizontal="left" vertical="center" wrapText="1"/>
    </xf>
    <xf numFmtId="0" fontId="6" fillId="0" borderId="0" xfId="0" applyFont="1"/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2" fontId="0" fillId="5" borderId="17" xfId="0" applyNumberForma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5" borderId="17" xfId="0" applyNumberFormat="1" applyFill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6" borderId="9" xfId="0" applyFill="1" applyBorder="1" applyAlignment="1">
      <alignment horizontal="right"/>
    </xf>
    <xf numFmtId="165" fontId="0" fillId="6" borderId="9" xfId="0" applyNumberFormat="1" applyFill="1" applyBorder="1" applyAlignment="1">
      <alignment horizontal="right"/>
    </xf>
    <xf numFmtId="0" fontId="6" fillId="0" borderId="0" xfId="0" quotePrefix="1" applyFont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2" fontId="0" fillId="6" borderId="9" xfId="0" applyNumberFormat="1" applyFill="1" applyBorder="1" applyAlignment="1">
      <alignment horizontal="right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165" fontId="0" fillId="0" borderId="0" xfId="0" applyNumberFormat="1" applyAlignment="1">
      <alignment horizontal="right" vertical="center"/>
    </xf>
    <xf numFmtId="2" fontId="0" fillId="0" borderId="0" xfId="0" applyNumberFormat="1"/>
    <xf numFmtId="1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165" fontId="0" fillId="0" borderId="9" xfId="0" applyNumberFormat="1" applyBorder="1" applyAlignment="1">
      <alignment horizontal="right"/>
    </xf>
    <xf numFmtId="0" fontId="0" fillId="4" borderId="1" xfId="0" applyFill="1" applyBorder="1" applyAlignment="1">
      <alignment horizontal="center"/>
    </xf>
    <xf numFmtId="165" fontId="0" fillId="0" borderId="7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7" borderId="1" xfId="0" applyNumberForma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" fontId="0" fillId="0" borderId="0" xfId="0" applyNumberFormat="1"/>
    <xf numFmtId="0" fontId="10" fillId="0" borderId="1" xfId="0" applyFont="1" applyBorder="1" applyAlignment="1">
      <alignment horizontal="center"/>
    </xf>
    <xf numFmtId="0" fontId="5" fillId="0" borderId="0" xfId="0" applyFont="1"/>
    <xf numFmtId="164" fontId="0" fillId="0" borderId="0" xfId="0" applyNumberFormat="1"/>
    <xf numFmtId="0" fontId="10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8" xfId="0" applyBorder="1"/>
    <xf numFmtId="1" fontId="11" fillId="0" borderId="0" xfId="0" applyNumberFormat="1" applyFont="1"/>
    <xf numFmtId="0" fontId="0" fillId="0" borderId="27" xfId="0" applyBorder="1" applyAlignment="1">
      <alignment horizontal="center" vertical="center"/>
    </xf>
    <xf numFmtId="1" fontId="11" fillId="0" borderId="9" xfId="0" applyNumberFormat="1" applyFont="1" applyBorder="1"/>
    <xf numFmtId="165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8" borderId="0" xfId="0" applyFill="1"/>
    <xf numFmtId="0" fontId="0" fillId="8" borderId="1" xfId="0" applyFill="1" applyBorder="1"/>
    <xf numFmtId="1" fontId="0" fillId="8" borderId="1" xfId="0" applyNumberFormat="1" applyFill="1" applyBorder="1" applyAlignment="1">
      <alignment horizontal="center"/>
    </xf>
    <xf numFmtId="165" fontId="0" fillId="0" borderId="1" xfId="0" applyNumberFormat="1" applyBorder="1"/>
    <xf numFmtId="167" fontId="0" fillId="0" borderId="1" xfId="0" applyNumberForma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6" fontId="0" fillId="8" borderId="0" xfId="1" applyNumberFormat="1" applyFont="1" applyFill="1" applyAlignment="1">
      <alignment horizontal="right"/>
    </xf>
    <xf numFmtId="9" fontId="0" fillId="0" borderId="0" xfId="2" applyFont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/>
    </xf>
    <xf numFmtId="0" fontId="0" fillId="0" borderId="0" xfId="0" applyBorder="1"/>
    <xf numFmtId="0" fontId="0" fillId="0" borderId="0" xfId="0" quotePrefix="1" applyBorder="1"/>
    <xf numFmtId="0" fontId="0" fillId="0" borderId="0" xfId="0" applyFill="1" applyBorder="1" applyAlignment="1"/>
    <xf numFmtId="0" fontId="0" fillId="0" borderId="0" xfId="0" applyFill="1" applyBorder="1"/>
    <xf numFmtId="0" fontId="0" fillId="4" borderId="1" xfId="0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3" fontId="0" fillId="0" borderId="0" xfId="0" applyNumberFormat="1"/>
    <xf numFmtId="49" fontId="0" fillId="0" borderId="0" xfId="0" quotePrefix="1" applyNumberFormat="1" applyAlignment="1">
      <alignment horizontal="center"/>
    </xf>
    <xf numFmtId="1" fontId="15" fillId="10" borderId="32" xfId="4" applyNumberFormat="1" applyAlignment="1">
      <alignment vertical="center"/>
    </xf>
    <xf numFmtId="167" fontId="15" fillId="10" borderId="32" xfId="4" applyNumberFormat="1" applyAlignment="1">
      <alignment horizontal="right" vertical="center"/>
    </xf>
    <xf numFmtId="1" fontId="0" fillId="0" borderId="1" xfId="0" quotePrefix="1" applyNumberFormat="1" applyBorder="1" applyAlignment="1" applyProtection="1">
      <alignment horizontal="center"/>
    </xf>
    <xf numFmtId="1" fontId="14" fillId="9" borderId="31" xfId="3" applyNumberFormat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6" fontId="0" fillId="8" borderId="1" xfId="1" applyNumberFormat="1" applyFont="1" applyFill="1" applyBorder="1" applyAlignment="1">
      <alignment horizontal="right"/>
    </xf>
    <xf numFmtId="2" fontId="14" fillId="9" borderId="31" xfId="3" applyNumberFormat="1" applyAlignment="1" applyProtection="1">
      <alignment horizontal="right" vertical="center"/>
      <protection locked="0"/>
    </xf>
    <xf numFmtId="165" fontId="16" fillId="10" borderId="31" xfId="5" applyNumberFormat="1" applyAlignment="1" applyProtection="1">
      <alignment vertical="center"/>
      <protection locked="0"/>
    </xf>
    <xf numFmtId="0" fontId="0" fillId="11" borderId="35" xfId="6" applyFont="1"/>
    <xf numFmtId="0" fontId="0" fillId="11" borderId="35" xfId="6" applyFont="1" applyAlignment="1">
      <alignment horizontal="left" indent="1"/>
    </xf>
    <xf numFmtId="1" fontId="15" fillId="10" borderId="32" xfId="4" applyNumberFormat="1" applyAlignment="1" applyProtection="1">
      <alignment horizontal="right" vertical="center"/>
    </xf>
    <xf numFmtId="0" fontId="15" fillId="10" borderId="32" xfId="4" applyAlignment="1">
      <alignment vertical="center"/>
    </xf>
    <xf numFmtId="2" fontId="14" fillId="9" borderId="31" xfId="3" applyNumberFormat="1" applyAlignment="1" applyProtection="1">
      <alignment vertical="center"/>
      <protection locked="0"/>
    </xf>
    <xf numFmtId="164" fontId="15" fillId="10" borderId="32" xfId="1" applyFont="1" applyFill="1" applyBorder="1" applyAlignment="1">
      <alignment vertical="center"/>
    </xf>
    <xf numFmtId="164" fontId="15" fillId="10" borderId="32" xfId="1" applyFont="1" applyFill="1" applyBorder="1" applyAlignment="1" applyProtection="1">
      <alignment vertical="center"/>
    </xf>
    <xf numFmtId="164" fontId="15" fillId="10" borderId="33" xfId="1" applyFont="1" applyFill="1" applyBorder="1" applyAlignment="1">
      <alignment vertical="center"/>
    </xf>
    <xf numFmtId="164" fontId="15" fillId="10" borderId="34" xfId="1" applyFont="1" applyFill="1" applyBorder="1" applyAlignment="1">
      <alignment vertical="center"/>
    </xf>
    <xf numFmtId="9" fontId="15" fillId="10" borderId="9" xfId="2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12" borderId="28" xfId="0" applyFont="1" applyFill="1" applyBorder="1"/>
    <xf numFmtId="0" fontId="5" fillId="12" borderId="30" xfId="0" applyFont="1" applyFill="1" applyBorder="1"/>
    <xf numFmtId="0" fontId="5" fillId="12" borderId="26" xfId="0" applyFont="1" applyFill="1" applyBorder="1"/>
    <xf numFmtId="0" fontId="5" fillId="12" borderId="29" xfId="0" applyFont="1" applyFill="1" applyBorder="1"/>
    <xf numFmtId="164" fontId="14" fillId="9" borderId="31" xfId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</cellXfs>
  <cellStyles count="7">
    <cellStyle name="Calculation" xfId="5" builtinId="22"/>
    <cellStyle name="Comma" xfId="1" builtinId="3"/>
    <cellStyle name="Input" xfId="3" builtinId="20"/>
    <cellStyle name="Normal" xfId="0" builtinId="0"/>
    <cellStyle name="Note" xfId="6" builtinId="10"/>
    <cellStyle name="Output" xfId="4" builtinId="2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52</xdr:row>
      <xdr:rowOff>38785</xdr:rowOff>
    </xdr:from>
    <xdr:to>
      <xdr:col>7</xdr:col>
      <xdr:colOff>123825</xdr:colOff>
      <xdr:row>62</xdr:row>
      <xdr:rowOff>181375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10135285"/>
          <a:ext cx="4210050" cy="204759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38</xdr:row>
      <xdr:rowOff>60738</xdr:rowOff>
    </xdr:from>
    <xdr:to>
      <xdr:col>7</xdr:col>
      <xdr:colOff>407441</xdr:colOff>
      <xdr:row>49</xdr:row>
      <xdr:rowOff>150294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8061738"/>
          <a:ext cx="4417466" cy="2185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2355738</xdr:colOff>
      <xdr:row>0</xdr:row>
      <xdr:rowOff>31930</xdr:rowOff>
    </xdr:from>
    <xdr:to>
      <xdr:col>10</xdr:col>
      <xdr:colOff>239660</xdr:colOff>
      <xdr:row>4</xdr:row>
      <xdr:rowOff>25515</xdr:rowOff>
    </xdr:to>
    <xdr:pic>
      <xdr:nvPicPr>
        <xdr:cNvPr id="2" name="Picture 1" descr="Most efficient solar panels 2022 — Clean Energy Review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269" y="31930"/>
          <a:ext cx="2859035" cy="741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1293045</xdr:colOff>
      <xdr:row>14</xdr:row>
      <xdr:rowOff>40967</xdr:rowOff>
    </xdr:from>
    <xdr:to>
      <xdr:col>11</xdr:col>
      <xdr:colOff>340201</xdr:colOff>
      <xdr:row>25</xdr:row>
      <xdr:rowOff>81867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1674" y="4281128"/>
          <a:ext cx="4639253" cy="2550174"/>
        </a:xfrm>
        <a:prstGeom prst="rect">
          <a:avLst/>
        </a:prstGeom>
      </xdr:spPr>
    </xdr:pic>
    <xdr:clientData/>
  </xdr:twoCellAnchor>
  <xdr:twoCellAnchor editAs="oneCell">
    <xdr:from>
      <xdr:col>5</xdr:col>
      <xdr:colOff>1103336</xdr:colOff>
      <xdr:row>29</xdr:row>
      <xdr:rowOff>48541</xdr:rowOff>
    </xdr:from>
    <xdr:to>
      <xdr:col>8</xdr:col>
      <xdr:colOff>276533</xdr:colOff>
      <xdr:row>35</xdr:row>
      <xdr:rowOff>48202</xdr:rowOff>
    </xdr:to>
    <xdr:pic>
      <xdr:nvPicPr>
        <xdr:cNvPr id="5" name="Picture 4" descr="How To Calculate Your Electric Bill - ElectricityRates.com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" r="3559"/>
        <a:stretch/>
      </xdr:blipFill>
      <xdr:spPr bwMode="auto">
        <a:xfrm>
          <a:off x="8241965" y="8027009"/>
          <a:ext cx="2921745" cy="1167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348226</xdr:colOff>
      <xdr:row>29</xdr:row>
      <xdr:rowOff>54137</xdr:rowOff>
    </xdr:from>
    <xdr:to>
      <xdr:col>11</xdr:col>
      <xdr:colOff>199882</xdr:colOff>
      <xdr:row>34</xdr:row>
      <xdr:rowOff>133145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5403" y="8032605"/>
          <a:ext cx="1695205" cy="1051992"/>
        </a:xfrm>
        <a:prstGeom prst="rect">
          <a:avLst/>
        </a:prstGeom>
      </xdr:spPr>
    </xdr:pic>
    <xdr:clientData/>
  </xdr:twoCellAnchor>
  <xdr:twoCellAnchor editAs="oneCell">
    <xdr:from>
      <xdr:col>5</xdr:col>
      <xdr:colOff>819355</xdr:colOff>
      <xdr:row>36</xdr:row>
      <xdr:rowOff>61451</xdr:rowOff>
    </xdr:from>
    <xdr:to>
      <xdr:col>11</xdr:col>
      <xdr:colOff>296176</xdr:colOff>
      <xdr:row>41</xdr:row>
      <xdr:rowOff>122903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7984" y="8849032"/>
          <a:ext cx="5068918" cy="1034436"/>
        </a:xfrm>
        <a:prstGeom prst="rect">
          <a:avLst/>
        </a:prstGeom>
      </xdr:spPr>
    </xdr:pic>
    <xdr:clientData/>
  </xdr:twoCellAnchor>
  <xdr:twoCellAnchor editAs="oneCell">
    <xdr:from>
      <xdr:col>4</xdr:col>
      <xdr:colOff>563306</xdr:colOff>
      <xdr:row>79</xdr:row>
      <xdr:rowOff>174114</xdr:rowOff>
    </xdr:from>
    <xdr:to>
      <xdr:col>6</xdr:col>
      <xdr:colOff>447589</xdr:colOff>
      <xdr:row>91</xdr:row>
      <xdr:rowOff>132372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69193" y="17513711"/>
          <a:ext cx="4636541" cy="2293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lakoffcommy-my.sharepoint.com/personal/arnie1849_malakoff_com_my/Documents/Documents/Copy%20of%202023.02.16%20Solar%20Calculator%20v2_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ar Table"/>
      <sheetName val="Solar Calculator RM"/>
      <sheetName val="draft 1"/>
      <sheetName val="Note"/>
      <sheetName val="Sheet2"/>
      <sheetName val="Financial Pla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workbookViewId="0">
      <selection activeCell="D18" sqref="D18"/>
    </sheetView>
  </sheetViews>
  <sheetFormatPr defaultRowHeight="15" x14ac:dyDescent="0.25"/>
  <cols>
    <col min="1" max="1" width="3" customWidth="1"/>
    <col min="2" max="2" width="39.85546875" customWidth="1"/>
    <col min="3" max="3" width="13.42578125" style="43" customWidth="1"/>
    <col min="4" max="4" width="13.140625" style="48" customWidth="1"/>
    <col min="5" max="5" width="40.85546875" customWidth="1"/>
    <col min="6" max="6" width="21.140625" customWidth="1"/>
  </cols>
  <sheetData>
    <row r="2" spans="2:10" ht="18.75" x14ac:dyDescent="0.3">
      <c r="B2" s="169" t="s">
        <v>266</v>
      </c>
      <c r="C2" s="169"/>
      <c r="D2" s="169"/>
    </row>
    <row r="4" spans="2:10" x14ac:dyDescent="0.25">
      <c r="B4" s="161" t="s">
        <v>63</v>
      </c>
      <c r="C4" s="162" t="s">
        <v>287</v>
      </c>
      <c r="D4" s="163" t="s">
        <v>288</v>
      </c>
      <c r="E4" s="146" t="s">
        <v>280</v>
      </c>
    </row>
    <row r="5" spans="2:10" x14ac:dyDescent="0.25">
      <c r="B5" s="164" t="s">
        <v>64</v>
      </c>
      <c r="C5" s="154" t="s">
        <v>285</v>
      </c>
      <c r="D5" s="168">
        <v>300</v>
      </c>
      <c r="E5" s="152" t="s">
        <v>279</v>
      </c>
      <c r="J5" s="4"/>
    </row>
    <row r="6" spans="2:10" x14ac:dyDescent="0.25">
      <c r="B6" s="165" t="s">
        <v>227</v>
      </c>
      <c r="C6" s="154" t="s">
        <v>3</v>
      </c>
      <c r="D6" s="153">
        <f>'Solar Calculator Formula'!C60</f>
        <v>6</v>
      </c>
      <c r="E6" s="152" t="s">
        <v>283</v>
      </c>
      <c r="J6" s="4"/>
    </row>
    <row r="7" spans="2:10" x14ac:dyDescent="0.25">
      <c r="B7" s="97"/>
      <c r="C7" s="109"/>
      <c r="D7" s="108"/>
      <c r="J7" s="4"/>
    </row>
    <row r="8" spans="2:10" x14ac:dyDescent="0.25">
      <c r="B8" s="161" t="s">
        <v>265</v>
      </c>
      <c r="C8" s="162" t="s">
        <v>287</v>
      </c>
      <c r="D8" s="163" t="s">
        <v>288</v>
      </c>
    </row>
    <row r="9" spans="2:10" x14ac:dyDescent="0.25">
      <c r="B9" s="166" t="s">
        <v>65</v>
      </c>
      <c r="C9" s="154" t="s">
        <v>285</v>
      </c>
      <c r="D9" s="157">
        <f>D5</f>
        <v>300</v>
      </c>
    </row>
    <row r="10" spans="2:10" x14ac:dyDescent="0.25">
      <c r="B10" s="164" t="s">
        <v>230</v>
      </c>
      <c r="C10" s="154" t="s">
        <v>285</v>
      </c>
      <c r="D10" s="156">
        <f>'Solar Calculator Formula'!C36</f>
        <v>20.983414269450343</v>
      </c>
    </row>
    <row r="11" spans="2:10" x14ac:dyDescent="0.25">
      <c r="B11" s="165" t="s">
        <v>224</v>
      </c>
      <c r="C11" s="154" t="s">
        <v>285</v>
      </c>
      <c r="D11" s="158">
        <f>'Solar Calculator Formula'!C37</f>
        <v>279.01658573054965</v>
      </c>
    </row>
    <row r="12" spans="2:10" x14ac:dyDescent="0.25">
      <c r="B12" s="165" t="s">
        <v>231</v>
      </c>
      <c r="C12" s="154" t="s">
        <v>274</v>
      </c>
      <c r="D12" s="160">
        <f>'Solar Calculator Formula'!C39</f>
        <v>0.93005528576849883</v>
      </c>
    </row>
    <row r="13" spans="2:10" x14ac:dyDescent="0.25">
      <c r="B13" s="165" t="s">
        <v>225</v>
      </c>
      <c r="C13" s="154" t="s">
        <v>285</v>
      </c>
      <c r="D13" s="159">
        <f>'Solar Calculator Formula'!C38</f>
        <v>3348.1990287665958</v>
      </c>
    </row>
    <row r="14" spans="2:10" ht="16.5" x14ac:dyDescent="0.25">
      <c r="F14" s="49"/>
    </row>
    <row r="15" spans="2:10" x14ac:dyDescent="0.25">
      <c r="B15" s="161" t="s">
        <v>221</v>
      </c>
      <c r="C15" s="162" t="s">
        <v>287</v>
      </c>
      <c r="D15" s="163" t="s">
        <v>288</v>
      </c>
    </row>
    <row r="16" spans="2:10" x14ac:dyDescent="0.25">
      <c r="B16" s="164" t="s">
        <v>222</v>
      </c>
      <c r="C16" s="154" t="s">
        <v>3</v>
      </c>
      <c r="D16" s="141">
        <f>'Solar Calculator Formula'!C24</f>
        <v>6</v>
      </c>
    </row>
    <row r="17" spans="2:5" x14ac:dyDescent="0.25">
      <c r="B17" s="164" t="s">
        <v>223</v>
      </c>
      <c r="C17" s="154" t="s">
        <v>285</v>
      </c>
      <c r="D17" s="156">
        <f>'Solar Calculator Formula'!C27</f>
        <v>30950</v>
      </c>
    </row>
    <row r="18" spans="2:5" x14ac:dyDescent="0.25">
      <c r="B18" s="167" t="s">
        <v>284</v>
      </c>
      <c r="C18" s="154" t="s">
        <v>285</v>
      </c>
      <c r="D18" s="155">
        <v>0</v>
      </c>
      <c r="E18" s="151" t="s">
        <v>281</v>
      </c>
    </row>
    <row r="19" spans="2:5" x14ac:dyDescent="0.25">
      <c r="B19" s="167" t="s">
        <v>168</v>
      </c>
      <c r="C19" s="154" t="s">
        <v>285</v>
      </c>
      <c r="D19" s="156">
        <f>D17+D18</f>
        <v>30950</v>
      </c>
    </row>
    <row r="20" spans="2:5" x14ac:dyDescent="0.25">
      <c r="B20" s="167" t="s">
        <v>143</v>
      </c>
      <c r="C20" s="154" t="s">
        <v>218</v>
      </c>
      <c r="D20" s="142">
        <f>'Solar Calculator Formula'!C40</f>
        <v>9.2437754548305069</v>
      </c>
    </row>
    <row r="21" spans="2:5" x14ac:dyDescent="0.25">
      <c r="B21" s="167" t="s">
        <v>273</v>
      </c>
      <c r="C21" s="154" t="s">
        <v>286</v>
      </c>
      <c r="D21" s="144">
        <v>60</v>
      </c>
      <c r="E21" s="151" t="s">
        <v>275</v>
      </c>
    </row>
    <row r="22" spans="2:5" x14ac:dyDescent="0.25">
      <c r="B22" s="167" t="s">
        <v>276</v>
      </c>
      <c r="C22" s="154" t="s">
        <v>274</v>
      </c>
      <c r="D22" s="149">
        <v>2.99</v>
      </c>
      <c r="E22" s="151" t="s">
        <v>277</v>
      </c>
    </row>
    <row r="23" spans="2:5" x14ac:dyDescent="0.25">
      <c r="B23" s="165" t="s">
        <v>272</v>
      </c>
      <c r="C23" s="154" t="s">
        <v>285</v>
      </c>
      <c r="D23" s="150">
        <f>D19/D21</f>
        <v>515.83333333333337</v>
      </c>
      <c r="E23" s="151" t="s">
        <v>278</v>
      </c>
    </row>
  </sheetData>
  <sheetProtection algorithmName="SHA-512" hashValue="t7GO/mEV2tFTrDr2Y6JJmi09VlHvsiZ4jGapkU3vEI8WQc3c6+DLJzteTE3Mvx22emOO/7Gu8ZemiO9oFeu+Pg==" saltValue="4Zo9UYkAvLmEU/tABNmTyw==" spinCount="100000" sheet="1" selectLockedCells="1"/>
  <mergeCells count="1">
    <mergeCell ref="B2:D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AF6D5E2-2A12-4DF4-95A8-46ED23B8D6E2}">
            <xm:f>NOT(ISERROR(SEARCH("-",D10)))</xm:f>
            <xm:f>"-"</xm:f>
            <x14:dxf>
              <fill>
                <patternFill>
                  <bgColor rgb="FFFF0000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60"/>
  <sheetViews>
    <sheetView topLeftCell="A22" zoomScale="90" zoomScaleNormal="90" workbookViewId="0">
      <selection activeCell="C44" sqref="C44"/>
    </sheetView>
  </sheetViews>
  <sheetFormatPr defaultRowHeight="15" x14ac:dyDescent="0.25"/>
  <cols>
    <col min="2" max="2" width="29.5703125" customWidth="1"/>
    <col min="3" max="3" width="24" customWidth="1"/>
    <col min="4" max="4" width="19.5703125" customWidth="1"/>
    <col min="5" max="5" width="26.7109375" customWidth="1"/>
    <col min="6" max="6" width="24.42578125" customWidth="1"/>
    <col min="7" max="7" width="18" customWidth="1"/>
    <col min="8" max="8" width="19.5703125" bestFit="1" customWidth="1"/>
  </cols>
  <sheetData>
    <row r="3" spans="1:12" x14ac:dyDescent="0.25">
      <c r="B3" s="173" t="s">
        <v>197</v>
      </c>
      <c r="C3" s="173"/>
      <c r="F3" s="131"/>
      <c r="G3" s="131"/>
      <c r="H3" s="131"/>
      <c r="I3" s="131"/>
      <c r="J3" s="131"/>
      <c r="K3" s="131"/>
      <c r="L3" s="132"/>
    </row>
    <row r="4" spans="1:12" x14ac:dyDescent="0.25">
      <c r="B4" s="113" t="s">
        <v>200</v>
      </c>
      <c r="C4" s="111">
        <f>'Solar Calculator'!D5</f>
        <v>300</v>
      </c>
      <c r="D4" t="s">
        <v>159</v>
      </c>
      <c r="F4" s="129"/>
      <c r="G4" s="129"/>
      <c r="H4" s="129"/>
      <c r="I4" s="129"/>
      <c r="J4" s="129"/>
      <c r="K4" s="129"/>
      <c r="L4" s="129"/>
    </row>
    <row r="5" spans="1:12" x14ac:dyDescent="0.25">
      <c r="B5" s="113" t="s">
        <v>197</v>
      </c>
      <c r="C5" s="143">
        <f>IF($C$4&gt;G19,(($C$4-G19)/G16)+F18,IF($C$4&gt;F19,(($C$4-F19)/F16)+E18,IF($C$4&gt;E19,(($C$4-E19)/E16)+D18,IF($C$4&gt;D19,(($C$4-D19)/D16)+C18,IF($C$4&lt;$D$19,($C$4/C16))))))</f>
        <v>734.142252985043</v>
      </c>
      <c r="D5" t="s">
        <v>160</v>
      </c>
      <c r="F5" s="129"/>
      <c r="G5" s="129"/>
      <c r="H5" s="129"/>
      <c r="I5" s="129"/>
      <c r="J5" s="129"/>
      <c r="K5" s="129"/>
      <c r="L5" s="129"/>
    </row>
    <row r="6" spans="1:12" x14ac:dyDescent="0.25">
      <c r="A6" s="118" t="s">
        <v>167</v>
      </c>
      <c r="B6" s="119" t="s">
        <v>158</v>
      </c>
      <c r="C6" s="120">
        <f>IF($C$5&lt;$C$18,($C$5*$C$16),IF($C$5&lt;$D$18,(($C$5-$C$18)*$D$16)+$C$17,IF($C$5&lt;$E$18,(($C$5-$D$18)*$E$16)+$D$17+$C$17,IF($C$5&lt;$F$18,(($C$5-$E$18)*$F$16)+$E$17+$D$17+$C$17,IF($C$5&gt;$F$18,(($C$5-$F$18)*$G$16)+$F$17+$E$17+$D$17+$C$17,0)))))</f>
        <v>299.99999999999994</v>
      </c>
      <c r="D6" s="118" t="s">
        <v>159</v>
      </c>
      <c r="F6" s="129"/>
      <c r="G6" s="130"/>
      <c r="H6" s="130"/>
      <c r="I6" s="129"/>
      <c r="J6" s="129"/>
      <c r="K6" s="129"/>
      <c r="L6" s="129"/>
    </row>
    <row r="7" spans="1:12" x14ac:dyDescent="0.25">
      <c r="C7" s="98"/>
      <c r="D7" s="95"/>
      <c r="E7" s="105"/>
      <c r="F7" s="129"/>
      <c r="G7" s="129"/>
      <c r="H7" s="129"/>
      <c r="I7" s="129"/>
      <c r="J7" s="129"/>
      <c r="K7" s="129"/>
      <c r="L7" s="129"/>
    </row>
    <row r="9" spans="1:12" x14ac:dyDescent="0.25">
      <c r="B9" s="170" t="s">
        <v>204</v>
      </c>
      <c r="C9" s="172"/>
      <c r="D9" s="172"/>
      <c r="E9" s="172"/>
      <c r="F9" s="172"/>
      <c r="G9" s="171"/>
      <c r="H9" s="133" t="s">
        <v>239</v>
      </c>
    </row>
    <row r="10" spans="1:12" s="4" customFormat="1" x14ac:dyDescent="0.25">
      <c r="B10" s="12" t="s">
        <v>205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34"/>
    </row>
    <row r="11" spans="1:12" x14ac:dyDescent="0.25">
      <c r="B11" s="29" t="s">
        <v>161</v>
      </c>
      <c r="C11" s="99">
        <v>199</v>
      </c>
      <c r="D11" s="99">
        <v>100</v>
      </c>
      <c r="E11" s="99">
        <v>300</v>
      </c>
      <c r="F11" s="99">
        <v>300</v>
      </c>
      <c r="G11" s="96" t="s">
        <v>162</v>
      </c>
      <c r="H11" s="135"/>
    </row>
    <row r="12" spans="1:12" x14ac:dyDescent="0.25">
      <c r="B12" s="113" t="s">
        <v>163</v>
      </c>
      <c r="C12" s="99">
        <v>0.218</v>
      </c>
      <c r="D12" s="99">
        <v>0.33400000000000002</v>
      </c>
      <c r="E12" s="99">
        <v>0.51600000000000001</v>
      </c>
      <c r="F12" s="99">
        <v>0.54600000000000004</v>
      </c>
      <c r="G12" s="96">
        <v>0.57099999999999995</v>
      </c>
      <c r="H12" s="135"/>
    </row>
    <row r="13" spans="1:12" x14ac:dyDescent="0.25">
      <c r="B13" s="113" t="s">
        <v>235</v>
      </c>
      <c r="C13" s="99">
        <f>$H$13</f>
        <v>-0.02</v>
      </c>
      <c r="D13" s="99">
        <f t="shared" ref="D13:G13" si="0">$H$13</f>
        <v>-0.02</v>
      </c>
      <c r="E13" s="99">
        <f t="shared" si="0"/>
        <v>-0.02</v>
      </c>
      <c r="F13" s="99">
        <f t="shared" si="0"/>
        <v>-0.02</v>
      </c>
      <c r="G13" s="99">
        <f t="shared" si="0"/>
        <v>-0.02</v>
      </c>
      <c r="H13" s="135">
        <v>-0.02</v>
      </c>
    </row>
    <row r="14" spans="1:12" x14ac:dyDescent="0.25">
      <c r="B14" s="113" t="s">
        <v>219</v>
      </c>
      <c r="C14" s="99">
        <f>C12*$H$14</f>
        <v>3.4880000000000002E-3</v>
      </c>
      <c r="D14" s="99">
        <f t="shared" ref="D14:G14" si="1">D12*$H$14</f>
        <v>5.3440000000000007E-3</v>
      </c>
      <c r="E14" s="99">
        <f t="shared" si="1"/>
        <v>8.2560000000000012E-3</v>
      </c>
      <c r="F14" s="99">
        <f t="shared" si="1"/>
        <v>8.7360000000000007E-3</v>
      </c>
      <c r="G14" s="99">
        <f t="shared" si="1"/>
        <v>9.136E-3</v>
      </c>
      <c r="H14" s="137">
        <v>1.6E-2</v>
      </c>
    </row>
    <row r="15" spans="1:12" x14ac:dyDescent="0.25">
      <c r="B15" s="113" t="s">
        <v>234</v>
      </c>
      <c r="C15" s="99">
        <v>0</v>
      </c>
      <c r="D15" s="99">
        <v>0</v>
      </c>
      <c r="E15" s="99">
        <v>0</v>
      </c>
      <c r="F15" s="99">
        <f>F12*$H$15</f>
        <v>3.2760000000000004E-2</v>
      </c>
      <c r="G15" s="99">
        <f>G12*$H$15</f>
        <v>3.4259999999999999E-2</v>
      </c>
      <c r="H15" s="138">
        <v>0.06</v>
      </c>
    </row>
    <row r="16" spans="1:12" x14ac:dyDescent="0.25">
      <c r="B16" s="29" t="s">
        <v>163</v>
      </c>
      <c r="C16" s="99">
        <f>SUM(C12:C15)</f>
        <v>0.201488</v>
      </c>
      <c r="D16" s="99">
        <f t="shared" ref="D16:G16" si="2">SUM(D12:D15)</f>
        <v>0.31934400000000002</v>
      </c>
      <c r="E16" s="99">
        <f t="shared" si="2"/>
        <v>0.50425600000000004</v>
      </c>
      <c r="F16" s="99">
        <f t="shared" si="2"/>
        <v>0.567496</v>
      </c>
      <c r="G16" s="99">
        <f t="shared" si="2"/>
        <v>0.59439599999999992</v>
      </c>
      <c r="H16" s="136"/>
    </row>
    <row r="17" spans="2:8" x14ac:dyDescent="0.25">
      <c r="B17" s="29" t="s">
        <v>236</v>
      </c>
      <c r="C17" s="100">
        <f>C11*C16</f>
        <v>40.096111999999998</v>
      </c>
      <c r="D17" s="100">
        <f>D11*D16</f>
        <v>31.9344</v>
      </c>
      <c r="E17" s="100">
        <f>E11*E16</f>
        <v>151.27680000000001</v>
      </c>
      <c r="F17" s="100">
        <f>F11*F16</f>
        <v>170.24879999999999</v>
      </c>
      <c r="G17" s="29"/>
      <c r="H17" s="136"/>
    </row>
    <row r="18" spans="2:8" x14ac:dyDescent="0.25">
      <c r="B18" s="29" t="s">
        <v>237</v>
      </c>
      <c r="C18" s="12">
        <v>199</v>
      </c>
      <c r="D18" s="12">
        <f>C18+D11</f>
        <v>299</v>
      </c>
      <c r="E18" s="12">
        <f>D18+E11</f>
        <v>599</v>
      </c>
      <c r="F18" s="12">
        <f>E18+F11</f>
        <v>899</v>
      </c>
      <c r="G18" s="28"/>
      <c r="H18" s="136"/>
    </row>
    <row r="19" spans="2:8" s="4" customFormat="1" x14ac:dyDescent="0.25">
      <c r="B19" s="55" t="s">
        <v>238</v>
      </c>
      <c r="C19" s="16"/>
      <c r="D19" s="127">
        <f>SUM(C17)</f>
        <v>40.096111999999998</v>
      </c>
      <c r="E19" s="127">
        <f>SUM(C17:D17)</f>
        <v>72.030512000000002</v>
      </c>
      <c r="F19" s="127">
        <f>SUM(C17:E17)</f>
        <v>223.30731200000002</v>
      </c>
      <c r="G19" s="127">
        <f>SUM(C17:F17)</f>
        <v>393.55611199999998</v>
      </c>
      <c r="H19" s="134"/>
    </row>
    <row r="20" spans="2:8" x14ac:dyDescent="0.25">
      <c r="B20" s="101" t="s">
        <v>220</v>
      </c>
      <c r="C20" s="38"/>
      <c r="D20" s="103"/>
      <c r="E20" s="103"/>
      <c r="F20" s="103"/>
      <c r="G20" s="104">
        <f>IF($C$4&gt;G19,(($C$4-G19)/G16)+F18,IF($C$4&gt;F19,(($C$4-F19)/F16)+E18,IF($C$4&gt;E19,(($C$4-E19)/E16)+D18,IF($C$4&gt;D19,(($C$4-D19)/D16)+C18,IF(C4&lt;D19,($C$4/C16),0)))))</f>
        <v>734.142252985043</v>
      </c>
      <c r="H20" s="113" t="s">
        <v>24</v>
      </c>
    </row>
    <row r="21" spans="2:8" x14ac:dyDescent="0.25">
      <c r="C21" s="4"/>
      <c r="D21" s="4"/>
      <c r="E21" s="4"/>
      <c r="F21" s="4"/>
      <c r="G21" s="102"/>
    </row>
    <row r="22" spans="2:8" x14ac:dyDescent="0.25">
      <c r="G22" s="97"/>
    </row>
    <row r="23" spans="2:8" x14ac:dyDescent="0.25">
      <c r="B23" s="173" t="s">
        <v>228</v>
      </c>
      <c r="C23" s="173"/>
    </row>
    <row r="24" spans="2:8" x14ac:dyDescent="0.25">
      <c r="B24" s="29" t="s">
        <v>165</v>
      </c>
      <c r="C24" s="106">
        <f>'Solar Calculator'!D6</f>
        <v>6</v>
      </c>
      <c r="D24" t="s">
        <v>3</v>
      </c>
    </row>
    <row r="25" spans="2:8" x14ac:dyDescent="0.25">
      <c r="B25" s="29" t="s">
        <v>206</v>
      </c>
      <c r="C25" s="107">
        <f>3.5*30</f>
        <v>105</v>
      </c>
      <c r="D25" t="s">
        <v>207</v>
      </c>
    </row>
    <row r="26" spans="2:8" x14ac:dyDescent="0.25">
      <c r="B26" s="29" t="s">
        <v>166</v>
      </c>
      <c r="C26" s="107">
        <f>C24*C25</f>
        <v>630</v>
      </c>
      <c r="D26" t="s">
        <v>160</v>
      </c>
    </row>
    <row r="27" spans="2:8" x14ac:dyDescent="0.25">
      <c r="B27" s="113" t="s">
        <v>209</v>
      </c>
      <c r="C27" s="121">
        <f>LOOKUP(C24,B43:B54,C43:C54)</f>
        <v>30950</v>
      </c>
    </row>
    <row r="28" spans="2:8" x14ac:dyDescent="0.25">
      <c r="B28" s="113" t="s">
        <v>232</v>
      </c>
      <c r="C28" s="121" cm="1">
        <f t="array" ref="C28">'Solar Calculator'!D18:D18</f>
        <v>0</v>
      </c>
    </row>
    <row r="29" spans="2:8" x14ac:dyDescent="0.25">
      <c r="B29" s="113" t="s">
        <v>233</v>
      </c>
      <c r="C29" s="121">
        <f>SUM(C27:C28)</f>
        <v>30950</v>
      </c>
    </row>
    <row r="31" spans="2:8" x14ac:dyDescent="0.25">
      <c r="B31" s="170" t="s">
        <v>201</v>
      </c>
      <c r="C31" s="171"/>
    </row>
    <row r="32" spans="2:8" x14ac:dyDescent="0.25">
      <c r="B32" s="67" t="s">
        <v>216</v>
      </c>
      <c r="C32" s="73">
        <f>C5</f>
        <v>734.142252985043</v>
      </c>
      <c r="D32" t="s">
        <v>160</v>
      </c>
    </row>
    <row r="33" spans="2:4" x14ac:dyDescent="0.25">
      <c r="B33" s="67" t="s">
        <v>202</v>
      </c>
      <c r="C33" s="73">
        <f>C26</f>
        <v>630</v>
      </c>
      <c r="D33" t="s">
        <v>160</v>
      </c>
    </row>
    <row r="34" spans="2:4" x14ac:dyDescent="0.25">
      <c r="B34" s="47" t="s">
        <v>203</v>
      </c>
      <c r="C34" s="65">
        <f>C32-C33</f>
        <v>104.142252985043</v>
      </c>
      <c r="D34" t="s">
        <v>160</v>
      </c>
    </row>
    <row r="35" spans="2:4" x14ac:dyDescent="0.25">
      <c r="B35" s="47" t="s">
        <v>2</v>
      </c>
      <c r="C35" s="66">
        <f>C4</f>
        <v>300</v>
      </c>
    </row>
    <row r="36" spans="2:4" x14ac:dyDescent="0.25">
      <c r="B36" s="54" t="s">
        <v>229</v>
      </c>
      <c r="C36" s="110">
        <f>IF($C$34&lt;$C$18,($C$34*$C$16),IF($C$34&lt;$D$18,(($C$34-$C$18)*$D$16)+$C$17,IF($C$34&lt;$E$18,(($C$34-$D$18)*$E$16)+$D$17+$C$17,IF($C$34&lt;$F$18,(($C$34-$E$18)*$F$16)+$E$17+$D$17+$C$17,IF($C$34&gt;$F$18,(($C$34-$F$18)*$G$16)+$F$17+$E$17+$D$17+$C$17,0)))))</f>
        <v>20.983414269450343</v>
      </c>
    </row>
    <row r="37" spans="2:4" x14ac:dyDescent="0.25">
      <c r="B37" s="54" t="s">
        <v>217</v>
      </c>
      <c r="C37" s="110">
        <f>C35-C36</f>
        <v>279.01658573054965</v>
      </c>
    </row>
    <row r="38" spans="2:4" x14ac:dyDescent="0.25">
      <c r="B38" s="47" t="s">
        <v>208</v>
      </c>
      <c r="C38" s="66">
        <f>C37*12</f>
        <v>3348.1990287665958</v>
      </c>
    </row>
    <row r="39" spans="2:4" x14ac:dyDescent="0.25">
      <c r="B39" s="112" t="s">
        <v>226</v>
      </c>
      <c r="C39" s="128">
        <f>C37/C35</f>
        <v>0.93005528576849883</v>
      </c>
    </row>
    <row r="40" spans="2:4" x14ac:dyDescent="0.25">
      <c r="B40" s="47" t="s">
        <v>131</v>
      </c>
      <c r="C40" s="122">
        <f>C29/C38</f>
        <v>9.2437754548305069</v>
      </c>
      <c r="D40" t="s">
        <v>218</v>
      </c>
    </row>
    <row r="41" spans="2:4" x14ac:dyDescent="0.25">
      <c r="B41" s="75"/>
      <c r="C41" s="77"/>
    </row>
    <row r="42" spans="2:4" x14ac:dyDescent="0.25">
      <c r="B42" s="147" t="s">
        <v>170</v>
      </c>
      <c r="C42" s="147" t="s">
        <v>172</v>
      </c>
    </row>
    <row r="43" spans="2:4" x14ac:dyDescent="0.25">
      <c r="B43" s="145">
        <v>1</v>
      </c>
      <c r="C43" s="148">
        <v>13068</v>
      </c>
    </row>
    <row r="44" spans="2:4" x14ac:dyDescent="0.25">
      <c r="B44" s="145">
        <v>2</v>
      </c>
      <c r="C44" s="148">
        <v>14700</v>
      </c>
    </row>
    <row r="45" spans="2:4" x14ac:dyDescent="0.25">
      <c r="B45" s="145">
        <v>3</v>
      </c>
      <c r="C45" s="148">
        <v>18849</v>
      </c>
    </row>
    <row r="46" spans="2:4" x14ac:dyDescent="0.25">
      <c r="B46" s="145">
        <v>4</v>
      </c>
      <c r="C46" s="148">
        <v>22250</v>
      </c>
    </row>
    <row r="47" spans="2:4" x14ac:dyDescent="0.25">
      <c r="B47" s="145">
        <v>5</v>
      </c>
      <c r="C47" s="148">
        <v>26372</v>
      </c>
    </row>
    <row r="48" spans="2:4" x14ac:dyDescent="0.25">
      <c r="B48" s="145">
        <v>6</v>
      </c>
      <c r="C48" s="148">
        <v>30950</v>
      </c>
    </row>
    <row r="49" spans="2:4" x14ac:dyDescent="0.25">
      <c r="B49" s="145">
        <v>7</v>
      </c>
      <c r="C49" s="148">
        <v>34827</v>
      </c>
    </row>
    <row r="50" spans="2:4" x14ac:dyDescent="0.25">
      <c r="B50" s="145">
        <v>8</v>
      </c>
      <c r="C50" s="148">
        <v>38950</v>
      </c>
    </row>
    <row r="51" spans="2:4" x14ac:dyDescent="0.25">
      <c r="B51" s="145">
        <v>9</v>
      </c>
      <c r="C51" s="148">
        <v>42892</v>
      </c>
    </row>
    <row r="52" spans="2:4" x14ac:dyDescent="0.25">
      <c r="B52" s="145">
        <v>10</v>
      </c>
      <c r="C52" s="148">
        <v>46050</v>
      </c>
    </row>
    <row r="53" spans="2:4" x14ac:dyDescent="0.25">
      <c r="B53" s="145">
        <v>11</v>
      </c>
      <c r="C53" s="148">
        <v>50362</v>
      </c>
    </row>
    <row r="54" spans="2:4" x14ac:dyDescent="0.25">
      <c r="B54" s="145">
        <v>12</v>
      </c>
      <c r="C54" s="148">
        <v>54500</v>
      </c>
    </row>
    <row r="55" spans="2:4" x14ac:dyDescent="0.25">
      <c r="B55" s="32"/>
    </row>
    <row r="56" spans="2:4" x14ac:dyDescent="0.25">
      <c r="B56" s="124" t="s">
        <v>267</v>
      </c>
    </row>
    <row r="57" spans="2:4" x14ac:dyDescent="0.25">
      <c r="B57" s="32" t="s">
        <v>268</v>
      </c>
      <c r="C57" t="s">
        <v>270</v>
      </c>
    </row>
    <row r="58" spans="2:4" x14ac:dyDescent="0.25">
      <c r="B58" s="32" t="s">
        <v>269</v>
      </c>
      <c r="C58" t="s">
        <v>271</v>
      </c>
    </row>
    <row r="60" spans="2:4" x14ac:dyDescent="0.25">
      <c r="B60" s="32" t="s">
        <v>282</v>
      </c>
      <c r="C60">
        <f>IF($C$4&lt;Package!A4,Package!E3,IF($C$4&lt;Package!A5,Package!E4,IF($C$4&lt;Package!A6,Package!E5,IF($C$4&lt;Package!A7,Package!E6,IF($C$4&lt;Package!A8,Package!E7,IF($C$4&lt;Package!A9,Package!E8,IF($C$4&lt;Package!A10,Package!E9,IF($C$4&lt;Package!A11,Package!E10,IF($C$4&lt;Package!A12,Package!E11,IF($C$4&lt;Package!A13,Package!E12,IF($C$4&lt;Package!A14,Package!E13,IF($C$4&lt;Package!A15,Package!E14,IF($C$4&lt;Package!A16,Package!E15,IF($C$4&lt;Package!A17,Package!E16,IF($C$4&lt;Package!A18,Package!E17,IF($C$4&gt;799,Package!E18,"0"))))))))))))))))</f>
        <v>6</v>
      </c>
      <c r="D60" t="s">
        <v>3</v>
      </c>
    </row>
  </sheetData>
  <sheetProtection algorithmName="SHA-512" hashValue="Z3MD2f1ZMFKxyJYuTKBuLz8g57ugtbSrnzyT6Ej78bTMzTgke0nfgzUefD63UVff0LfR6jqPVa4aaQzLpKi4Gw==" saltValue="Bn4tJ4KRkYtY+DVDUYAtsQ==" spinCount="100000" sheet="1" selectLockedCells="1" selectUnlockedCells="1"/>
  <mergeCells count="4">
    <mergeCell ref="B31:C31"/>
    <mergeCell ref="B9:G9"/>
    <mergeCell ref="B23:C23"/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FC9C-7596-45ED-ABDE-D8015A0E9B0A}">
  <dimension ref="A1:R19"/>
  <sheetViews>
    <sheetView workbookViewId="0">
      <selection activeCell="D14" sqref="D14"/>
    </sheetView>
  </sheetViews>
  <sheetFormatPr defaultRowHeight="15" x14ac:dyDescent="0.25"/>
  <cols>
    <col min="1" max="1" width="18.28515625" bestFit="1" customWidth="1"/>
    <col min="2" max="4" width="18.28515625" customWidth="1"/>
    <col min="5" max="5" width="17.7109375" bestFit="1" customWidth="1"/>
    <col min="6" max="6" width="13.28515625" bestFit="1" customWidth="1"/>
    <col min="7" max="9" width="17.7109375" customWidth="1"/>
    <col min="10" max="10" width="22" bestFit="1" customWidth="1"/>
    <col min="11" max="11" width="22" customWidth="1"/>
    <col min="12" max="12" width="15.42578125" bestFit="1" customWidth="1"/>
    <col min="13" max="15" width="15.42578125" customWidth="1"/>
    <col min="16" max="16" width="8.140625" bestFit="1" customWidth="1"/>
    <col min="17" max="17" width="8.140625" customWidth="1"/>
    <col min="18" max="18" width="12.7109375" bestFit="1" customWidth="1"/>
  </cols>
  <sheetData>
    <row r="1" spans="1:18" x14ac:dyDescent="0.25">
      <c r="G1">
        <f>3.5*30</f>
        <v>105</v>
      </c>
      <c r="R1">
        <v>5</v>
      </c>
    </row>
    <row r="2" spans="1:18" s="124" customFormat="1" x14ac:dyDescent="0.25">
      <c r="A2" s="123" t="s">
        <v>212</v>
      </c>
      <c r="B2" s="123" t="s">
        <v>197</v>
      </c>
      <c r="C2" s="123" t="s">
        <v>212</v>
      </c>
      <c r="D2" s="123" t="s">
        <v>197</v>
      </c>
      <c r="E2" s="123" t="s">
        <v>170</v>
      </c>
      <c r="F2" s="123" t="s">
        <v>172</v>
      </c>
      <c r="G2" s="123" t="s">
        <v>198</v>
      </c>
      <c r="H2" s="123" t="s">
        <v>199</v>
      </c>
      <c r="I2" s="123" t="s">
        <v>199</v>
      </c>
      <c r="J2" s="123" t="s">
        <v>213</v>
      </c>
      <c r="K2" s="123" t="s">
        <v>213</v>
      </c>
      <c r="L2" s="123" t="s">
        <v>173</v>
      </c>
      <c r="M2" s="123" t="s">
        <v>173</v>
      </c>
      <c r="N2" s="123" t="s">
        <v>214</v>
      </c>
      <c r="O2" s="123" t="s">
        <v>215</v>
      </c>
      <c r="P2" s="123" t="s">
        <v>211</v>
      </c>
      <c r="Q2" s="123" t="s">
        <v>210</v>
      </c>
      <c r="R2" s="123" t="s">
        <v>175</v>
      </c>
    </row>
    <row r="3" spans="1:18" x14ac:dyDescent="0.25">
      <c r="A3" s="114">
        <v>50</v>
      </c>
      <c r="B3" s="114">
        <v>219</v>
      </c>
      <c r="C3" s="114">
        <v>150</v>
      </c>
      <c r="D3" s="114">
        <v>441</v>
      </c>
      <c r="E3" s="32">
        <v>1</v>
      </c>
      <c r="F3" s="125">
        <v>13068</v>
      </c>
      <c r="G3" s="32">
        <f t="shared" ref="G3:G18" si="0">E3*$G$1</f>
        <v>105</v>
      </c>
      <c r="H3" s="114">
        <f>B3-G3</f>
        <v>114</v>
      </c>
      <c r="I3" s="114">
        <f>D3-G3</f>
        <v>336</v>
      </c>
      <c r="J3" s="32">
        <v>25</v>
      </c>
      <c r="K3" s="32">
        <v>95</v>
      </c>
      <c r="L3" s="114">
        <f t="shared" ref="L3:L18" si="1">A3-J3</f>
        <v>25</v>
      </c>
      <c r="M3" s="114">
        <f>C3-K3</f>
        <v>55</v>
      </c>
      <c r="N3" s="126">
        <f>L3/A3</f>
        <v>0.5</v>
      </c>
      <c r="O3" s="126">
        <f>M3/C3</f>
        <v>0.36666666666666664</v>
      </c>
      <c r="P3" s="116">
        <f t="shared" ref="P3:P18" si="2">F3/(L3*12)</f>
        <v>43.56</v>
      </c>
      <c r="Q3" s="116">
        <f>F3/(M3*12)</f>
        <v>19.8</v>
      </c>
      <c r="R3" s="32">
        <f t="shared" ref="R3:R18" si="3">$R$1*E3</f>
        <v>5</v>
      </c>
    </row>
    <row r="4" spans="1:18" x14ac:dyDescent="0.25">
      <c r="A4" s="114">
        <v>100</v>
      </c>
      <c r="B4" s="114">
        <v>344</v>
      </c>
      <c r="C4" s="114">
        <v>200</v>
      </c>
      <c r="D4" s="114">
        <v>538</v>
      </c>
      <c r="E4" s="32">
        <v>2</v>
      </c>
      <c r="F4" s="125">
        <v>14700</v>
      </c>
      <c r="G4" s="32">
        <f t="shared" si="0"/>
        <v>210</v>
      </c>
      <c r="H4" s="114">
        <f t="shared" ref="H4:H18" si="4">B4-G4</f>
        <v>134</v>
      </c>
      <c r="I4" s="114">
        <f t="shared" ref="I4:I18" si="5">D4-G4</f>
        <v>328</v>
      </c>
      <c r="J4" s="32">
        <v>29</v>
      </c>
      <c r="K4" s="32">
        <v>92</v>
      </c>
      <c r="L4" s="114">
        <f t="shared" si="1"/>
        <v>71</v>
      </c>
      <c r="M4" s="114">
        <f t="shared" ref="M4:M18" si="6">C4-K4</f>
        <v>108</v>
      </c>
      <c r="N4" s="126">
        <f t="shared" ref="N4:N18" si="7">L4/A4</f>
        <v>0.71</v>
      </c>
      <c r="O4" s="126">
        <f t="shared" ref="O4:O18" si="8">M4/C4</f>
        <v>0.54</v>
      </c>
      <c r="P4" s="116">
        <f t="shared" si="2"/>
        <v>17.253521126760564</v>
      </c>
      <c r="Q4" s="116">
        <f t="shared" ref="Q4:Q18" si="9">F4/(M4*12)</f>
        <v>11.342592592592593</v>
      </c>
      <c r="R4" s="32">
        <f t="shared" si="3"/>
        <v>10</v>
      </c>
    </row>
    <row r="5" spans="1:18" x14ac:dyDescent="0.25">
      <c r="A5" s="114">
        <v>150</v>
      </c>
      <c r="B5" s="114">
        <v>441</v>
      </c>
      <c r="C5" s="114">
        <v>250</v>
      </c>
      <c r="D5" s="114">
        <v>633</v>
      </c>
      <c r="E5" s="32">
        <v>3</v>
      </c>
      <c r="F5" s="125">
        <v>18849</v>
      </c>
      <c r="G5" s="32">
        <f t="shared" si="0"/>
        <v>315</v>
      </c>
      <c r="H5" s="114">
        <f t="shared" si="4"/>
        <v>126</v>
      </c>
      <c r="I5" s="114">
        <f t="shared" si="5"/>
        <v>318</v>
      </c>
      <c r="J5" s="32">
        <v>27</v>
      </c>
      <c r="K5" s="32">
        <v>86</v>
      </c>
      <c r="L5" s="114">
        <f t="shared" si="1"/>
        <v>123</v>
      </c>
      <c r="M5" s="114">
        <f t="shared" si="6"/>
        <v>164</v>
      </c>
      <c r="N5" s="126">
        <f t="shared" si="7"/>
        <v>0.82</v>
      </c>
      <c r="O5" s="126">
        <f t="shared" si="8"/>
        <v>0.65600000000000003</v>
      </c>
      <c r="P5" s="116">
        <f t="shared" si="2"/>
        <v>12.770325203252032</v>
      </c>
      <c r="Q5" s="116">
        <f t="shared" si="9"/>
        <v>9.5777439024390247</v>
      </c>
      <c r="R5" s="32">
        <f t="shared" si="3"/>
        <v>15</v>
      </c>
    </row>
    <row r="6" spans="1:18" x14ac:dyDescent="0.25">
      <c r="A6" s="114">
        <v>200</v>
      </c>
      <c r="B6" s="114">
        <v>538</v>
      </c>
      <c r="C6" s="114">
        <v>300</v>
      </c>
      <c r="D6" s="114">
        <v>724</v>
      </c>
      <c r="E6" s="32">
        <v>4</v>
      </c>
      <c r="F6" s="125">
        <v>22250</v>
      </c>
      <c r="G6" s="32">
        <f t="shared" si="0"/>
        <v>420</v>
      </c>
      <c r="H6" s="114">
        <f t="shared" si="4"/>
        <v>118</v>
      </c>
      <c r="I6" s="114">
        <f t="shared" si="5"/>
        <v>304</v>
      </c>
      <c r="J6" s="32">
        <v>25</v>
      </c>
      <c r="K6" s="32">
        <v>80</v>
      </c>
      <c r="L6" s="114">
        <f t="shared" si="1"/>
        <v>175</v>
      </c>
      <c r="M6" s="114">
        <f t="shared" si="6"/>
        <v>220</v>
      </c>
      <c r="N6" s="126">
        <f t="shared" si="7"/>
        <v>0.875</v>
      </c>
      <c r="O6" s="126">
        <f t="shared" si="8"/>
        <v>0.73333333333333328</v>
      </c>
      <c r="P6" s="116">
        <f t="shared" si="2"/>
        <v>10.595238095238095</v>
      </c>
      <c r="Q6" s="116">
        <f t="shared" si="9"/>
        <v>8.4280303030303028</v>
      </c>
      <c r="R6" s="32">
        <f t="shared" si="3"/>
        <v>20</v>
      </c>
    </row>
    <row r="7" spans="1:18" x14ac:dyDescent="0.25">
      <c r="A7" s="114">
        <v>250</v>
      </c>
      <c r="B7" s="114">
        <v>633</v>
      </c>
      <c r="C7" s="114">
        <v>350</v>
      </c>
      <c r="D7" s="114">
        <v>816</v>
      </c>
      <c r="E7" s="32">
        <v>5</v>
      </c>
      <c r="F7" s="125">
        <v>26372</v>
      </c>
      <c r="G7" s="32">
        <f t="shared" si="0"/>
        <v>525</v>
      </c>
      <c r="H7" s="114">
        <f t="shared" si="4"/>
        <v>108</v>
      </c>
      <c r="I7" s="114">
        <f t="shared" si="5"/>
        <v>291</v>
      </c>
      <c r="J7" s="32">
        <v>23</v>
      </c>
      <c r="K7" s="32">
        <v>75</v>
      </c>
      <c r="L7" s="114">
        <f t="shared" si="1"/>
        <v>227</v>
      </c>
      <c r="M7" s="114">
        <f t="shared" si="6"/>
        <v>275</v>
      </c>
      <c r="N7" s="126">
        <f t="shared" si="7"/>
        <v>0.90800000000000003</v>
      </c>
      <c r="O7" s="126">
        <f t="shared" si="8"/>
        <v>0.7857142857142857</v>
      </c>
      <c r="P7" s="116">
        <f t="shared" si="2"/>
        <v>9.6813509544787077</v>
      </c>
      <c r="Q7" s="116">
        <f t="shared" si="9"/>
        <v>7.9915151515151512</v>
      </c>
      <c r="R7" s="32">
        <f t="shared" si="3"/>
        <v>25</v>
      </c>
    </row>
    <row r="8" spans="1:18" x14ac:dyDescent="0.25">
      <c r="A8" s="114">
        <v>300</v>
      </c>
      <c r="B8" s="114">
        <v>724</v>
      </c>
      <c r="C8" s="114">
        <v>400</v>
      </c>
      <c r="D8" s="114">
        <v>907</v>
      </c>
      <c r="E8" s="32">
        <v>6</v>
      </c>
      <c r="F8" s="125">
        <v>30950</v>
      </c>
      <c r="G8" s="32">
        <f t="shared" si="0"/>
        <v>630</v>
      </c>
      <c r="H8" s="114">
        <f t="shared" si="4"/>
        <v>94</v>
      </c>
      <c r="I8" s="114">
        <f t="shared" si="5"/>
        <v>277</v>
      </c>
      <c r="J8" s="32">
        <v>20</v>
      </c>
      <c r="K8" s="32">
        <v>70</v>
      </c>
      <c r="L8" s="114">
        <f t="shared" si="1"/>
        <v>280</v>
      </c>
      <c r="M8" s="114">
        <f t="shared" si="6"/>
        <v>330</v>
      </c>
      <c r="N8" s="126">
        <f t="shared" si="7"/>
        <v>0.93333333333333335</v>
      </c>
      <c r="O8" s="126">
        <f t="shared" si="8"/>
        <v>0.82499999999999996</v>
      </c>
      <c r="P8" s="116">
        <f t="shared" si="2"/>
        <v>9.2113095238095237</v>
      </c>
      <c r="Q8" s="116">
        <f t="shared" si="9"/>
        <v>7.8156565656565657</v>
      </c>
      <c r="R8" s="32">
        <f t="shared" si="3"/>
        <v>30</v>
      </c>
    </row>
    <row r="9" spans="1:18" x14ac:dyDescent="0.25">
      <c r="A9" s="114">
        <v>350</v>
      </c>
      <c r="B9" s="114">
        <v>816</v>
      </c>
      <c r="C9" s="114">
        <v>450</v>
      </c>
      <c r="D9" s="114">
        <v>995</v>
      </c>
      <c r="E9" s="32">
        <v>7</v>
      </c>
      <c r="F9" s="125">
        <v>34827</v>
      </c>
      <c r="G9" s="32">
        <f t="shared" si="0"/>
        <v>735</v>
      </c>
      <c r="H9" s="114">
        <f t="shared" si="4"/>
        <v>81</v>
      </c>
      <c r="I9" s="114">
        <f t="shared" si="5"/>
        <v>260</v>
      </c>
      <c r="J9" s="32">
        <v>18</v>
      </c>
      <c r="K9" s="32">
        <v>65</v>
      </c>
      <c r="L9" s="114">
        <f t="shared" si="1"/>
        <v>332</v>
      </c>
      <c r="M9" s="114">
        <f t="shared" si="6"/>
        <v>385</v>
      </c>
      <c r="N9" s="126">
        <f t="shared" si="7"/>
        <v>0.94857142857142862</v>
      </c>
      <c r="O9" s="126">
        <f t="shared" si="8"/>
        <v>0.85555555555555551</v>
      </c>
      <c r="P9" s="116">
        <f t="shared" si="2"/>
        <v>8.7417168674698793</v>
      </c>
      <c r="Q9" s="116">
        <f t="shared" si="9"/>
        <v>7.5383116883116887</v>
      </c>
      <c r="R9" s="32">
        <f t="shared" si="3"/>
        <v>35</v>
      </c>
    </row>
    <row r="10" spans="1:18" x14ac:dyDescent="0.25">
      <c r="A10" s="114">
        <v>400</v>
      </c>
      <c r="B10" s="114">
        <v>907</v>
      </c>
      <c r="C10" s="114">
        <v>500</v>
      </c>
      <c r="D10" s="114">
        <v>1082</v>
      </c>
      <c r="E10" s="32">
        <v>8</v>
      </c>
      <c r="F10" s="125">
        <v>38950</v>
      </c>
      <c r="G10" s="32">
        <f t="shared" si="0"/>
        <v>840</v>
      </c>
      <c r="H10" s="114">
        <f t="shared" si="4"/>
        <v>67</v>
      </c>
      <c r="I10" s="114">
        <f t="shared" si="5"/>
        <v>242</v>
      </c>
      <c r="J10" s="32">
        <v>15</v>
      </c>
      <c r="K10" s="32">
        <v>60</v>
      </c>
      <c r="L10" s="114">
        <f t="shared" si="1"/>
        <v>385</v>
      </c>
      <c r="M10" s="114">
        <f t="shared" si="6"/>
        <v>440</v>
      </c>
      <c r="N10" s="126">
        <f t="shared" si="7"/>
        <v>0.96250000000000002</v>
      </c>
      <c r="O10" s="126">
        <f t="shared" si="8"/>
        <v>0.88</v>
      </c>
      <c r="P10" s="116">
        <f t="shared" si="2"/>
        <v>8.4307359307359313</v>
      </c>
      <c r="Q10" s="116">
        <f t="shared" si="9"/>
        <v>7.3768939393939394</v>
      </c>
      <c r="R10" s="32">
        <f t="shared" si="3"/>
        <v>40</v>
      </c>
    </row>
    <row r="11" spans="1:18" x14ac:dyDescent="0.25">
      <c r="A11" s="114">
        <v>450</v>
      </c>
      <c r="B11" s="114">
        <v>995</v>
      </c>
      <c r="C11" s="114">
        <v>550</v>
      </c>
      <c r="D11" s="114">
        <v>1170</v>
      </c>
      <c r="E11" s="32">
        <v>9</v>
      </c>
      <c r="F11" s="125">
        <v>42892</v>
      </c>
      <c r="G11" s="32">
        <f t="shared" si="0"/>
        <v>945</v>
      </c>
      <c r="H11" s="114">
        <f t="shared" si="4"/>
        <v>50</v>
      </c>
      <c r="I11" s="114">
        <f t="shared" si="5"/>
        <v>225</v>
      </c>
      <c r="J11" s="32">
        <v>10</v>
      </c>
      <c r="K11" s="32">
        <v>52</v>
      </c>
      <c r="L11" s="114">
        <f t="shared" si="1"/>
        <v>440</v>
      </c>
      <c r="M11" s="114">
        <f t="shared" si="6"/>
        <v>498</v>
      </c>
      <c r="N11" s="126">
        <f t="shared" si="7"/>
        <v>0.97777777777777775</v>
      </c>
      <c r="O11" s="126">
        <f t="shared" si="8"/>
        <v>0.9054545454545454</v>
      </c>
      <c r="P11" s="116">
        <f t="shared" si="2"/>
        <v>8.1234848484848481</v>
      </c>
      <c r="Q11" s="116">
        <f t="shared" si="9"/>
        <v>7.1773761713520754</v>
      </c>
      <c r="R11" s="32">
        <f t="shared" si="3"/>
        <v>45</v>
      </c>
    </row>
    <row r="12" spans="1:18" x14ac:dyDescent="0.25">
      <c r="A12" s="114">
        <v>500</v>
      </c>
      <c r="B12" s="114">
        <v>1082</v>
      </c>
      <c r="C12" s="114">
        <v>600</v>
      </c>
      <c r="D12" s="114">
        <v>1257</v>
      </c>
      <c r="E12" s="32">
        <v>9</v>
      </c>
      <c r="F12" s="125">
        <v>42892</v>
      </c>
      <c r="G12" s="32">
        <f t="shared" si="0"/>
        <v>945</v>
      </c>
      <c r="H12" s="114">
        <f t="shared" si="4"/>
        <v>137</v>
      </c>
      <c r="I12" s="114">
        <f t="shared" si="5"/>
        <v>312</v>
      </c>
      <c r="J12" s="32">
        <v>30</v>
      </c>
      <c r="K12" s="32">
        <v>85</v>
      </c>
      <c r="L12" s="114">
        <f t="shared" si="1"/>
        <v>470</v>
      </c>
      <c r="M12" s="114">
        <f t="shared" si="6"/>
        <v>515</v>
      </c>
      <c r="N12" s="126">
        <f t="shared" si="7"/>
        <v>0.94</v>
      </c>
      <c r="O12" s="126">
        <f t="shared" si="8"/>
        <v>0.85833333333333328</v>
      </c>
      <c r="P12" s="116">
        <f t="shared" si="2"/>
        <v>7.6049645390070921</v>
      </c>
      <c r="Q12" s="116">
        <f t="shared" si="9"/>
        <v>6.9404530744336572</v>
      </c>
      <c r="R12" s="32">
        <f t="shared" si="3"/>
        <v>45</v>
      </c>
    </row>
    <row r="13" spans="1:18" x14ac:dyDescent="0.25">
      <c r="A13" s="114">
        <v>550</v>
      </c>
      <c r="B13" s="114">
        <v>1170</v>
      </c>
      <c r="C13" s="114">
        <v>650</v>
      </c>
      <c r="D13" s="114">
        <v>1345</v>
      </c>
      <c r="E13" s="32">
        <v>10</v>
      </c>
      <c r="F13" s="125">
        <v>46050</v>
      </c>
      <c r="G13" s="32">
        <f t="shared" si="0"/>
        <v>1050</v>
      </c>
      <c r="H13" s="114">
        <f t="shared" si="4"/>
        <v>120</v>
      </c>
      <c r="I13" s="114">
        <f t="shared" si="5"/>
        <v>295</v>
      </c>
      <c r="J13" s="32">
        <v>26</v>
      </c>
      <c r="K13" s="32">
        <v>75</v>
      </c>
      <c r="L13" s="114">
        <f t="shared" si="1"/>
        <v>524</v>
      </c>
      <c r="M13" s="114">
        <f t="shared" si="6"/>
        <v>575</v>
      </c>
      <c r="N13" s="126">
        <f t="shared" si="7"/>
        <v>0.95272727272727276</v>
      </c>
      <c r="O13" s="126">
        <f t="shared" si="8"/>
        <v>0.88461538461538458</v>
      </c>
      <c r="P13" s="116">
        <f t="shared" si="2"/>
        <v>7.3234732824427482</v>
      </c>
      <c r="Q13" s="116">
        <f t="shared" si="9"/>
        <v>6.6739130434782608</v>
      </c>
      <c r="R13" s="32">
        <f t="shared" si="3"/>
        <v>50</v>
      </c>
    </row>
    <row r="14" spans="1:18" x14ac:dyDescent="0.25">
      <c r="A14" s="114">
        <v>600</v>
      </c>
      <c r="B14" s="114">
        <v>1257</v>
      </c>
      <c r="C14" s="114">
        <v>700</v>
      </c>
      <c r="D14" s="114">
        <v>1432</v>
      </c>
      <c r="E14" s="32">
        <v>10</v>
      </c>
      <c r="F14" s="125">
        <v>46050</v>
      </c>
      <c r="G14" s="32">
        <f t="shared" si="0"/>
        <v>1050</v>
      </c>
      <c r="H14" s="114">
        <f t="shared" si="4"/>
        <v>207</v>
      </c>
      <c r="I14" s="114">
        <f t="shared" si="5"/>
        <v>382</v>
      </c>
      <c r="J14" s="32">
        <v>46</v>
      </c>
      <c r="K14" s="32">
        <v>120</v>
      </c>
      <c r="L14" s="114">
        <f t="shared" si="1"/>
        <v>554</v>
      </c>
      <c r="M14" s="114">
        <f t="shared" si="6"/>
        <v>580</v>
      </c>
      <c r="N14" s="126">
        <f t="shared" si="7"/>
        <v>0.92333333333333334</v>
      </c>
      <c r="O14" s="126">
        <f t="shared" si="8"/>
        <v>0.82857142857142863</v>
      </c>
      <c r="P14" s="116">
        <f t="shared" si="2"/>
        <v>6.9268953068592056</v>
      </c>
      <c r="Q14" s="116">
        <f t="shared" si="9"/>
        <v>6.6163793103448274</v>
      </c>
      <c r="R14" s="32">
        <f t="shared" si="3"/>
        <v>50</v>
      </c>
    </row>
    <row r="15" spans="1:18" x14ac:dyDescent="0.25">
      <c r="A15" s="114">
        <v>650</v>
      </c>
      <c r="B15" s="114">
        <v>1345</v>
      </c>
      <c r="C15" s="114">
        <v>750</v>
      </c>
      <c r="D15" s="114">
        <v>1520</v>
      </c>
      <c r="E15" s="32">
        <v>11</v>
      </c>
      <c r="F15" s="125">
        <v>50362</v>
      </c>
      <c r="G15" s="32">
        <f t="shared" si="0"/>
        <v>1155</v>
      </c>
      <c r="H15" s="114">
        <f t="shared" si="4"/>
        <v>190</v>
      </c>
      <c r="I15" s="114">
        <f t="shared" si="5"/>
        <v>365</v>
      </c>
      <c r="J15" s="32">
        <v>42</v>
      </c>
      <c r="K15" s="32">
        <v>112</v>
      </c>
      <c r="L15" s="114">
        <f t="shared" si="1"/>
        <v>608</v>
      </c>
      <c r="M15" s="114">
        <f t="shared" si="6"/>
        <v>638</v>
      </c>
      <c r="N15" s="126">
        <f t="shared" si="7"/>
        <v>0.93538461538461537</v>
      </c>
      <c r="O15" s="126">
        <f t="shared" si="8"/>
        <v>0.85066666666666668</v>
      </c>
      <c r="P15" s="116">
        <f t="shared" si="2"/>
        <v>6.9026864035087723</v>
      </c>
      <c r="Q15" s="116">
        <f t="shared" si="9"/>
        <v>6.578108672936259</v>
      </c>
      <c r="R15" s="32">
        <f t="shared" si="3"/>
        <v>55</v>
      </c>
    </row>
    <row r="16" spans="1:18" x14ac:dyDescent="0.25">
      <c r="A16" s="114">
        <v>700</v>
      </c>
      <c r="B16" s="114">
        <v>1432</v>
      </c>
      <c r="C16" s="114">
        <v>800</v>
      </c>
      <c r="D16" s="114">
        <v>1608</v>
      </c>
      <c r="E16" s="32">
        <v>11</v>
      </c>
      <c r="F16" s="125">
        <v>50362</v>
      </c>
      <c r="G16" s="32">
        <f t="shared" si="0"/>
        <v>1155</v>
      </c>
      <c r="H16" s="114">
        <f t="shared" si="4"/>
        <v>277</v>
      </c>
      <c r="I16" s="114">
        <f t="shared" si="5"/>
        <v>453</v>
      </c>
      <c r="J16" s="32">
        <v>70</v>
      </c>
      <c r="K16" s="32">
        <v>157</v>
      </c>
      <c r="L16" s="114">
        <f t="shared" si="1"/>
        <v>630</v>
      </c>
      <c r="M16" s="114">
        <f t="shared" si="6"/>
        <v>643</v>
      </c>
      <c r="N16" s="126">
        <f t="shared" si="7"/>
        <v>0.9</v>
      </c>
      <c r="O16" s="126">
        <f t="shared" si="8"/>
        <v>0.80374999999999996</v>
      </c>
      <c r="P16" s="116">
        <f t="shared" si="2"/>
        <v>6.6616402116402114</v>
      </c>
      <c r="Q16" s="116">
        <f t="shared" si="9"/>
        <v>6.5269569725246246</v>
      </c>
      <c r="R16" s="32">
        <f t="shared" si="3"/>
        <v>55</v>
      </c>
    </row>
    <row r="17" spans="1:18" x14ac:dyDescent="0.25">
      <c r="A17" s="114">
        <v>750</v>
      </c>
      <c r="B17" s="114">
        <v>1520</v>
      </c>
      <c r="C17" s="114">
        <v>850</v>
      </c>
      <c r="D17" s="114">
        <v>1695</v>
      </c>
      <c r="E17" s="32">
        <v>12</v>
      </c>
      <c r="F17" s="125">
        <v>54500</v>
      </c>
      <c r="G17" s="32">
        <f t="shared" si="0"/>
        <v>1260</v>
      </c>
      <c r="H17" s="114">
        <f t="shared" si="4"/>
        <v>260</v>
      </c>
      <c r="I17" s="114">
        <f t="shared" si="5"/>
        <v>435</v>
      </c>
      <c r="J17" s="32">
        <v>64</v>
      </c>
      <c r="K17" s="32">
        <v>148</v>
      </c>
      <c r="L17" s="114">
        <f t="shared" si="1"/>
        <v>686</v>
      </c>
      <c r="M17" s="114">
        <f t="shared" si="6"/>
        <v>702</v>
      </c>
      <c r="N17" s="126">
        <f t="shared" si="7"/>
        <v>0.91466666666666663</v>
      </c>
      <c r="O17" s="126">
        <f t="shared" si="8"/>
        <v>0.82588235294117651</v>
      </c>
      <c r="P17" s="116">
        <f t="shared" si="2"/>
        <v>6.6205053449951405</v>
      </c>
      <c r="Q17" s="116">
        <f t="shared" si="9"/>
        <v>6.4696106362773032</v>
      </c>
      <c r="R17" s="32">
        <f t="shared" si="3"/>
        <v>60</v>
      </c>
    </row>
    <row r="18" spans="1:18" x14ac:dyDescent="0.25">
      <c r="A18" s="114">
        <v>800</v>
      </c>
      <c r="B18" s="114">
        <v>1608</v>
      </c>
      <c r="C18" s="114">
        <v>900</v>
      </c>
      <c r="D18" s="114">
        <v>1783</v>
      </c>
      <c r="E18" s="32">
        <v>12</v>
      </c>
      <c r="F18" s="125">
        <v>54500</v>
      </c>
      <c r="G18" s="32">
        <f t="shared" si="0"/>
        <v>1260</v>
      </c>
      <c r="H18" s="114">
        <f t="shared" si="4"/>
        <v>348</v>
      </c>
      <c r="I18" s="114">
        <f t="shared" si="5"/>
        <v>523</v>
      </c>
      <c r="J18" s="32">
        <v>100</v>
      </c>
      <c r="K18" s="32">
        <v>195</v>
      </c>
      <c r="L18" s="114">
        <f t="shared" si="1"/>
        <v>700</v>
      </c>
      <c r="M18" s="114">
        <f t="shared" si="6"/>
        <v>705</v>
      </c>
      <c r="N18" s="126">
        <f t="shared" si="7"/>
        <v>0.875</v>
      </c>
      <c r="O18" s="126">
        <f t="shared" si="8"/>
        <v>0.78333333333333333</v>
      </c>
      <c r="P18" s="116">
        <f t="shared" si="2"/>
        <v>6.4880952380952381</v>
      </c>
      <c r="Q18" s="116">
        <f t="shared" si="9"/>
        <v>6.4420803782505907</v>
      </c>
      <c r="R18" s="32">
        <f t="shared" si="3"/>
        <v>60</v>
      </c>
    </row>
    <row r="19" spans="1:18" x14ac:dyDescent="0.25">
      <c r="A19" s="114"/>
      <c r="G19" s="32"/>
      <c r="H19" s="32"/>
      <c r="I19" s="32"/>
    </row>
  </sheetData>
  <sheetProtection algorithmName="SHA-512" hashValue="gkWTJWZnvuaKvmWYuSK+5teo/0AnStVTnPYlQsV+xWin0n9+2JLoS8QqBGdETqacmb2kHUdsMNockmwJ4cGauQ==" saltValue="yHnkZY22TtCBDHfXqLv1O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6B45-9247-4CBA-8618-DF4744D379F4}">
  <dimension ref="B3:I16"/>
  <sheetViews>
    <sheetView topLeftCell="A2" zoomScaleNormal="100" workbookViewId="0">
      <selection activeCell="C6" sqref="C6"/>
    </sheetView>
  </sheetViews>
  <sheetFormatPr defaultRowHeight="15" x14ac:dyDescent="0.25"/>
  <cols>
    <col min="2" max="2" width="29.5703125" customWidth="1"/>
    <col min="3" max="3" width="24" customWidth="1"/>
    <col min="4" max="4" width="21.85546875" customWidth="1"/>
    <col min="5" max="5" width="26.7109375" customWidth="1"/>
    <col min="6" max="6" width="24.42578125" customWidth="1"/>
    <col min="7" max="7" width="18" customWidth="1"/>
    <col min="8" max="8" width="19.5703125" bestFit="1" customWidth="1"/>
  </cols>
  <sheetData>
    <row r="3" spans="2:9" x14ac:dyDescent="0.25">
      <c r="B3" s="32" t="s">
        <v>169</v>
      </c>
      <c r="C3" s="32" t="s">
        <v>170</v>
      </c>
      <c r="D3" s="32" t="s">
        <v>171</v>
      </c>
      <c r="E3" s="32" t="s">
        <v>172</v>
      </c>
      <c r="F3" s="32" t="s">
        <v>173</v>
      </c>
      <c r="G3" s="32" t="s">
        <v>174</v>
      </c>
      <c r="H3" s="32" t="s">
        <v>175</v>
      </c>
    </row>
    <row r="4" spans="2:9" x14ac:dyDescent="0.25">
      <c r="B4" s="114" t="s">
        <v>176</v>
      </c>
      <c r="C4" s="32">
        <v>2</v>
      </c>
      <c r="D4" s="32">
        <v>29</v>
      </c>
      <c r="E4" s="115">
        <v>14700</v>
      </c>
      <c r="F4" s="32">
        <v>71</v>
      </c>
      <c r="G4" s="116">
        <v>17</v>
      </c>
      <c r="H4" s="32" t="s">
        <v>177</v>
      </c>
      <c r="I4" s="139"/>
    </row>
    <row r="5" spans="2:9" x14ac:dyDescent="0.25">
      <c r="B5" s="114" t="s">
        <v>178</v>
      </c>
      <c r="C5" s="32">
        <v>2</v>
      </c>
      <c r="D5" s="32" t="s">
        <v>179</v>
      </c>
      <c r="E5" s="115">
        <v>14700</v>
      </c>
      <c r="F5" s="32" t="s">
        <v>180</v>
      </c>
      <c r="G5" s="116">
        <v>11</v>
      </c>
      <c r="H5" s="32" t="s">
        <v>177</v>
      </c>
    </row>
    <row r="6" spans="2:9" x14ac:dyDescent="0.25">
      <c r="B6" s="114" t="s">
        <v>181</v>
      </c>
      <c r="C6" s="32">
        <v>3</v>
      </c>
      <c r="D6" s="32" t="s">
        <v>264</v>
      </c>
      <c r="E6" s="115">
        <v>18849</v>
      </c>
      <c r="F6" s="32" t="s">
        <v>263</v>
      </c>
      <c r="G6" s="116">
        <v>10</v>
      </c>
      <c r="H6" s="32" t="s">
        <v>182</v>
      </c>
      <c r="I6" s="139"/>
    </row>
    <row r="7" spans="2:9" x14ac:dyDescent="0.25">
      <c r="B7" s="114" t="s">
        <v>183</v>
      </c>
      <c r="C7" s="32">
        <v>4</v>
      </c>
      <c r="D7" s="32" t="s">
        <v>262</v>
      </c>
      <c r="E7" s="115">
        <v>22250</v>
      </c>
      <c r="F7" s="32" t="s">
        <v>261</v>
      </c>
      <c r="G7" s="116">
        <v>8</v>
      </c>
      <c r="H7" s="32" t="s">
        <v>184</v>
      </c>
    </row>
    <row r="8" spans="2:9" x14ac:dyDescent="0.25">
      <c r="B8" s="114" t="s">
        <v>185</v>
      </c>
      <c r="C8" s="32">
        <v>5</v>
      </c>
      <c r="D8" s="32" t="s">
        <v>260</v>
      </c>
      <c r="E8" s="115">
        <v>26372</v>
      </c>
      <c r="F8" s="32" t="s">
        <v>259</v>
      </c>
      <c r="G8" s="116">
        <v>8</v>
      </c>
      <c r="H8" s="32" t="s">
        <v>186</v>
      </c>
      <c r="I8" s="139"/>
    </row>
    <row r="9" spans="2:9" x14ac:dyDescent="0.25">
      <c r="B9" s="114" t="s">
        <v>187</v>
      </c>
      <c r="C9" s="32">
        <v>6</v>
      </c>
      <c r="D9" s="32" t="s">
        <v>258</v>
      </c>
      <c r="E9" s="115">
        <v>30950</v>
      </c>
      <c r="F9" s="32" t="s">
        <v>257</v>
      </c>
      <c r="G9" s="116">
        <f>E9/(309*12)</f>
        <v>8.3468176914778862</v>
      </c>
      <c r="H9" s="32" t="s">
        <v>188</v>
      </c>
    </row>
    <row r="10" spans="2:9" x14ac:dyDescent="0.25">
      <c r="B10" s="114" t="s">
        <v>189</v>
      </c>
      <c r="C10" s="32">
        <v>7</v>
      </c>
      <c r="D10" s="32" t="s">
        <v>256</v>
      </c>
      <c r="E10" s="115">
        <v>34827</v>
      </c>
      <c r="F10" s="32" t="s">
        <v>255</v>
      </c>
      <c r="G10" s="116">
        <v>8</v>
      </c>
      <c r="H10" s="32" t="s">
        <v>190</v>
      </c>
      <c r="I10" s="139"/>
    </row>
    <row r="11" spans="2:9" x14ac:dyDescent="0.25">
      <c r="B11" s="114" t="s">
        <v>191</v>
      </c>
      <c r="C11" s="32">
        <v>8</v>
      </c>
      <c r="D11" s="32" t="s">
        <v>254</v>
      </c>
      <c r="E11" s="115">
        <v>38950</v>
      </c>
      <c r="F11" s="32" t="s">
        <v>253</v>
      </c>
      <c r="G11" s="116">
        <f>E11/(442*12)</f>
        <v>7.3435143288084461</v>
      </c>
      <c r="H11" s="32" t="s">
        <v>192</v>
      </c>
    </row>
    <row r="12" spans="2:9" x14ac:dyDescent="0.25">
      <c r="B12" s="114" t="s">
        <v>252</v>
      </c>
      <c r="C12" s="32">
        <v>9</v>
      </c>
      <c r="D12" s="140" t="s">
        <v>251</v>
      </c>
      <c r="E12" s="115">
        <v>42892</v>
      </c>
      <c r="F12" s="32" t="s">
        <v>250</v>
      </c>
      <c r="G12" s="116">
        <v>7</v>
      </c>
      <c r="H12" s="32" t="s">
        <v>193</v>
      </c>
      <c r="I12" s="139"/>
    </row>
    <row r="13" spans="2:9" x14ac:dyDescent="0.25">
      <c r="B13" s="114" t="s">
        <v>249</v>
      </c>
      <c r="C13" s="32">
        <v>10</v>
      </c>
      <c r="D13" s="117" t="s">
        <v>248</v>
      </c>
      <c r="E13" s="115">
        <v>46050</v>
      </c>
      <c r="F13" s="32" t="s">
        <v>247</v>
      </c>
      <c r="G13" s="116">
        <f>E13/(554*12)</f>
        <v>6.9268953068592056</v>
      </c>
      <c r="H13" s="32" t="s">
        <v>194</v>
      </c>
    </row>
    <row r="14" spans="2:9" x14ac:dyDescent="0.25">
      <c r="B14" s="114" t="s">
        <v>246</v>
      </c>
      <c r="C14" s="32">
        <v>11</v>
      </c>
      <c r="D14" s="117" t="s">
        <v>245</v>
      </c>
      <c r="E14" s="115">
        <v>50362</v>
      </c>
      <c r="F14" s="32" t="s">
        <v>244</v>
      </c>
      <c r="G14" s="116">
        <v>7</v>
      </c>
      <c r="H14" s="32" t="s">
        <v>195</v>
      </c>
      <c r="I14" s="139"/>
    </row>
    <row r="15" spans="2:9" x14ac:dyDescent="0.25">
      <c r="B15" s="114" t="s">
        <v>243</v>
      </c>
      <c r="C15" s="32">
        <v>12</v>
      </c>
      <c r="D15" s="32" t="s">
        <v>242</v>
      </c>
      <c r="E15" s="115">
        <v>54500</v>
      </c>
      <c r="F15" s="32" t="s">
        <v>241</v>
      </c>
      <c r="G15" s="116">
        <v>6</v>
      </c>
      <c r="H15" s="32" t="s">
        <v>196</v>
      </c>
    </row>
    <row r="16" spans="2:9" x14ac:dyDescent="0.25">
      <c r="B16" s="114" t="s">
        <v>240</v>
      </c>
      <c r="C16" s="32">
        <v>12</v>
      </c>
      <c r="D16" s="32">
        <v>170</v>
      </c>
      <c r="E16" s="115">
        <v>54500</v>
      </c>
      <c r="F16" s="32">
        <v>730</v>
      </c>
      <c r="G16" s="116">
        <v>6</v>
      </c>
      <c r="H16" s="32" t="s">
        <v>196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75"/>
  <sheetViews>
    <sheetView topLeftCell="A22" workbookViewId="0">
      <selection activeCell="C34" sqref="C34"/>
    </sheetView>
  </sheetViews>
  <sheetFormatPr defaultRowHeight="15" x14ac:dyDescent="0.25"/>
  <cols>
    <col min="1" max="1" width="5.140625" customWidth="1"/>
    <col min="2" max="2" width="32.85546875" customWidth="1"/>
    <col min="3" max="3" width="27.7109375" customWidth="1"/>
    <col min="4" max="4" width="17" customWidth="1"/>
    <col min="5" max="5" width="28.28515625" customWidth="1"/>
    <col min="6" max="6" width="27" style="4" customWidth="1"/>
  </cols>
  <sheetData>
    <row r="2" spans="2:6" x14ac:dyDescent="0.25">
      <c r="B2" s="170" t="s">
        <v>111</v>
      </c>
      <c r="C2" s="171"/>
      <c r="E2" s="84" t="s">
        <v>149</v>
      </c>
      <c r="F2" s="89" t="s">
        <v>148</v>
      </c>
    </row>
    <row r="3" spans="2:6" x14ac:dyDescent="0.25">
      <c r="B3" s="47" t="s">
        <v>112</v>
      </c>
      <c r="C3" s="93">
        <f>'Solar Calculator'!D5:D5</f>
        <v>300</v>
      </c>
      <c r="D3" t="s">
        <v>156</v>
      </c>
      <c r="E3" s="91" t="s">
        <v>150</v>
      </c>
      <c r="F3" s="92">
        <v>0.218</v>
      </c>
    </row>
    <row r="4" spans="2:6" x14ac:dyDescent="0.25">
      <c r="B4" s="47" t="s">
        <v>113</v>
      </c>
      <c r="C4" s="64">
        <v>30</v>
      </c>
      <c r="E4" s="42" t="s">
        <v>151</v>
      </c>
      <c r="F4" s="92">
        <v>0.33400000000000002</v>
      </c>
    </row>
    <row r="5" spans="2:6" x14ac:dyDescent="0.25">
      <c r="B5" s="47" t="s">
        <v>114</v>
      </c>
      <c r="C5" s="93" t="e">
        <f>'Solar Calculator'!#REF!</f>
        <v>#REF!</v>
      </c>
      <c r="D5" t="s">
        <v>156</v>
      </c>
      <c r="E5" s="42" t="s">
        <v>152</v>
      </c>
      <c r="F5" s="92">
        <v>0.51600000000000001</v>
      </c>
    </row>
    <row r="6" spans="2:6" x14ac:dyDescent="0.25">
      <c r="B6" s="47" t="s">
        <v>115</v>
      </c>
      <c r="C6" s="64">
        <v>4</v>
      </c>
      <c r="E6" s="42" t="s">
        <v>153</v>
      </c>
      <c r="F6" s="92">
        <v>0.54600000000000004</v>
      </c>
    </row>
    <row r="7" spans="2:6" x14ac:dyDescent="0.25">
      <c r="B7" s="47" t="s">
        <v>116</v>
      </c>
      <c r="C7" s="82" t="e">
        <f>((C3/C4)/C5)/C6</f>
        <v>#REF!</v>
      </c>
      <c r="E7" s="42" t="s">
        <v>154</v>
      </c>
      <c r="F7" s="92"/>
    </row>
    <row r="9" spans="2:6" x14ac:dyDescent="0.25">
      <c r="C9" s="78"/>
      <c r="E9" s="52"/>
      <c r="F9" s="90"/>
    </row>
    <row r="10" spans="2:6" x14ac:dyDescent="0.25">
      <c r="B10" s="170" t="s">
        <v>126</v>
      </c>
      <c r="C10" s="171"/>
      <c r="E10" s="52"/>
      <c r="F10" s="90"/>
    </row>
    <row r="11" spans="2:6" x14ac:dyDescent="0.25">
      <c r="B11" s="47" t="s">
        <v>125</v>
      </c>
      <c r="C11" s="65" t="e">
        <f>C7*120</f>
        <v>#REF!</v>
      </c>
      <c r="E11" s="52"/>
      <c r="F11" s="90"/>
    </row>
    <row r="12" spans="2:6" x14ac:dyDescent="0.25">
      <c r="B12" s="47" t="s">
        <v>121</v>
      </c>
      <c r="C12" s="64">
        <f>4*30</f>
        <v>120</v>
      </c>
    </row>
    <row r="13" spans="2:6" x14ac:dyDescent="0.25">
      <c r="B13" s="47" t="s">
        <v>124</v>
      </c>
      <c r="C13" s="65" t="e">
        <f>C7*C14</f>
        <v>#REF!</v>
      </c>
      <c r="E13" s="52"/>
      <c r="F13" s="90"/>
    </row>
    <row r="14" spans="2:6" x14ac:dyDescent="0.25">
      <c r="B14" s="47" t="s">
        <v>122</v>
      </c>
      <c r="C14" s="64">
        <v>4</v>
      </c>
      <c r="E14" s="52"/>
      <c r="F14" s="90"/>
    </row>
    <row r="15" spans="2:6" x14ac:dyDescent="0.25">
      <c r="B15" s="47" t="s">
        <v>123</v>
      </c>
      <c r="C15" s="65" t="e">
        <f>C13*365</f>
        <v>#REF!</v>
      </c>
      <c r="E15" s="52"/>
      <c r="F15" s="90"/>
    </row>
    <row r="16" spans="2:6" x14ac:dyDescent="0.25">
      <c r="B16" s="47" t="s">
        <v>84</v>
      </c>
      <c r="C16" s="64">
        <v>500</v>
      </c>
    </row>
    <row r="17" spans="2:4" x14ac:dyDescent="0.25">
      <c r="B17" s="47" t="s">
        <v>128</v>
      </c>
      <c r="C17" s="65" t="e">
        <f>C7*1000</f>
        <v>#REF!</v>
      </c>
    </row>
    <row r="18" spans="2:4" x14ac:dyDescent="0.25">
      <c r="B18" s="47" t="s">
        <v>129</v>
      </c>
      <c r="C18" s="94" t="e">
        <f>C$17/C$16</f>
        <v>#REF!</v>
      </c>
      <c r="D18" s="76"/>
    </row>
    <row r="21" spans="2:4" x14ac:dyDescent="0.25">
      <c r="B21" s="170" t="s">
        <v>127</v>
      </c>
      <c r="C21" s="171"/>
      <c r="D21" t="s">
        <v>164</v>
      </c>
    </row>
    <row r="22" spans="2:4" x14ac:dyDescent="0.25">
      <c r="B22" s="67" t="s">
        <v>92</v>
      </c>
      <c r="C22" s="73" t="e">
        <f>C7*C12</f>
        <v>#REF!</v>
      </c>
    </row>
    <row r="23" spans="2:4" x14ac:dyDescent="0.25">
      <c r="B23" s="67" t="s">
        <v>114</v>
      </c>
      <c r="C23" s="83" t="e">
        <f>C5</f>
        <v>#REF!</v>
      </c>
    </row>
    <row r="24" spans="2:4" x14ac:dyDescent="0.25">
      <c r="B24" s="47" t="s">
        <v>72</v>
      </c>
      <c r="C24" s="66" t="e">
        <f>C22*C23</f>
        <v>#REF!</v>
      </c>
    </row>
    <row r="25" spans="2:4" x14ac:dyDescent="0.25">
      <c r="B25" s="47" t="s">
        <v>2</v>
      </c>
      <c r="C25" s="66">
        <f>C3</f>
        <v>300</v>
      </c>
    </row>
    <row r="26" spans="2:4" ht="30" x14ac:dyDescent="0.25">
      <c r="B26" s="54" t="s">
        <v>71</v>
      </c>
      <c r="C26" s="72" t="e">
        <f>C25-C24</f>
        <v>#REF!</v>
      </c>
    </row>
    <row r="27" spans="2:4" x14ac:dyDescent="0.25">
      <c r="B27" s="47" t="s">
        <v>69</v>
      </c>
      <c r="C27" s="66" t="e">
        <f>C26*12</f>
        <v>#REF!</v>
      </c>
    </row>
    <row r="28" spans="2:4" x14ac:dyDescent="0.25">
      <c r="B28" s="75"/>
      <c r="C28" s="77"/>
    </row>
    <row r="30" spans="2:4" x14ac:dyDescent="0.25">
      <c r="B30" s="170" t="s">
        <v>117</v>
      </c>
      <c r="C30" s="171"/>
    </row>
    <row r="31" spans="2:4" x14ac:dyDescent="0.25">
      <c r="B31" s="29" t="s">
        <v>109</v>
      </c>
      <c r="C31" s="72">
        <v>800</v>
      </c>
    </row>
    <row r="32" spans="2:4" x14ac:dyDescent="0.25">
      <c r="B32" s="29" t="s">
        <v>119</v>
      </c>
      <c r="C32" s="72">
        <v>500</v>
      </c>
    </row>
    <row r="33" spans="2:4" x14ac:dyDescent="0.25">
      <c r="B33" s="29" t="s">
        <v>110</v>
      </c>
      <c r="C33" s="72">
        <v>150</v>
      </c>
      <c r="D33" t="s">
        <v>155</v>
      </c>
    </row>
    <row r="34" spans="2:4" x14ac:dyDescent="0.25">
      <c r="B34" s="29" t="s">
        <v>118</v>
      </c>
      <c r="C34" s="68">
        <v>5</v>
      </c>
    </row>
    <row r="35" spans="2:4" x14ac:dyDescent="0.25">
      <c r="B35" s="29" t="s">
        <v>76</v>
      </c>
      <c r="C35" s="68">
        <v>2.5</v>
      </c>
    </row>
    <row r="36" spans="2:4" x14ac:dyDescent="0.25">
      <c r="B36" s="29" t="s">
        <v>120</v>
      </c>
      <c r="C36" s="72">
        <f>C34*C35</f>
        <v>12.5</v>
      </c>
    </row>
    <row r="37" spans="2:4" x14ac:dyDescent="0.25">
      <c r="B37" s="29" t="s">
        <v>130</v>
      </c>
      <c r="C37" s="79" t="e">
        <f>C18</f>
        <v>#REF!</v>
      </c>
    </row>
    <row r="38" spans="2:4" x14ac:dyDescent="0.25">
      <c r="B38" s="29" t="s">
        <v>139</v>
      </c>
      <c r="C38" s="72" t="e">
        <f>(C31+C32+C33+C36)*C37</f>
        <v>#REF!</v>
      </c>
    </row>
    <row r="39" spans="2:4" x14ac:dyDescent="0.25">
      <c r="B39" s="29" t="s">
        <v>141</v>
      </c>
      <c r="C39" s="72">
        <v>0</v>
      </c>
    </row>
    <row r="40" spans="2:4" x14ac:dyDescent="0.25">
      <c r="B40" s="29" t="s">
        <v>140</v>
      </c>
      <c r="C40" s="72"/>
    </row>
    <row r="41" spans="2:4" x14ac:dyDescent="0.25">
      <c r="C41" s="80"/>
    </row>
    <row r="42" spans="2:4" x14ac:dyDescent="0.25">
      <c r="B42" s="170" t="s">
        <v>138</v>
      </c>
      <c r="C42" s="171"/>
      <c r="D42" t="s">
        <v>146</v>
      </c>
    </row>
    <row r="43" spans="2:4" x14ac:dyDescent="0.25">
      <c r="B43" s="29" t="s">
        <v>132</v>
      </c>
      <c r="C43" s="72" t="e">
        <f>C38</f>
        <v>#REF!</v>
      </c>
    </row>
    <row r="44" spans="2:4" x14ac:dyDescent="0.25">
      <c r="B44" s="29" t="s">
        <v>133</v>
      </c>
      <c r="C44" s="72">
        <v>0</v>
      </c>
    </row>
    <row r="45" spans="2:4" x14ac:dyDescent="0.25">
      <c r="B45" s="29" t="s">
        <v>134</v>
      </c>
      <c r="C45" s="72" t="e">
        <f>C43+C44</f>
        <v>#REF!</v>
      </c>
    </row>
    <row r="46" spans="2:4" x14ac:dyDescent="0.25">
      <c r="B46" s="29" t="s">
        <v>135</v>
      </c>
      <c r="C46" s="72" t="e">
        <f>C27</f>
        <v>#REF!</v>
      </c>
    </row>
    <row r="47" spans="2:4" x14ac:dyDescent="0.25">
      <c r="B47" s="29" t="s">
        <v>137</v>
      </c>
      <c r="C47" s="72">
        <f>C$36</f>
        <v>12.5</v>
      </c>
    </row>
    <row r="48" spans="2:4" x14ac:dyDescent="0.25">
      <c r="B48" s="29" t="s">
        <v>136</v>
      </c>
      <c r="C48" s="72">
        <f>C$47*12</f>
        <v>150</v>
      </c>
    </row>
    <row r="49" spans="2:4" x14ac:dyDescent="0.25">
      <c r="B49" s="29" t="s">
        <v>134</v>
      </c>
      <c r="C49" s="72" t="e">
        <f>C46+C48</f>
        <v>#REF!</v>
      </c>
    </row>
    <row r="50" spans="2:4" x14ac:dyDescent="0.25">
      <c r="B50" s="29" t="s">
        <v>142</v>
      </c>
      <c r="C50" s="79" t="e">
        <f>C45/C49</f>
        <v>#REF!</v>
      </c>
    </row>
    <row r="51" spans="2:4" x14ac:dyDescent="0.25">
      <c r="C51" s="81"/>
    </row>
    <row r="52" spans="2:4" x14ac:dyDescent="0.25">
      <c r="C52" s="43"/>
    </row>
    <row r="53" spans="2:4" x14ac:dyDescent="0.25">
      <c r="B53" s="170" t="s">
        <v>138</v>
      </c>
      <c r="C53" s="171"/>
      <c r="D53" t="s">
        <v>147</v>
      </c>
    </row>
    <row r="54" spans="2:4" x14ac:dyDescent="0.25">
      <c r="B54" s="29" t="s">
        <v>132</v>
      </c>
      <c r="C54" s="72" t="e">
        <f>C38</f>
        <v>#REF!</v>
      </c>
    </row>
    <row r="55" spans="2:4" x14ac:dyDescent="0.25">
      <c r="B55" s="29" t="s">
        <v>133</v>
      </c>
      <c r="C55" s="72">
        <v>0</v>
      </c>
    </row>
    <row r="56" spans="2:4" x14ac:dyDescent="0.25">
      <c r="B56" s="29" t="s">
        <v>134</v>
      </c>
      <c r="C56" s="72" t="e">
        <f>C54+C55</f>
        <v>#REF!</v>
      </c>
    </row>
    <row r="57" spans="2:4" x14ac:dyDescent="0.25">
      <c r="B57" s="29" t="s">
        <v>144</v>
      </c>
      <c r="C57" s="72">
        <v>5000</v>
      </c>
    </row>
    <row r="58" spans="2:4" x14ac:dyDescent="0.25">
      <c r="B58" s="29" t="s">
        <v>145</v>
      </c>
      <c r="C58" s="72" t="e">
        <f>C56-C57</f>
        <v>#REF!</v>
      </c>
    </row>
    <row r="59" spans="2:4" x14ac:dyDescent="0.25">
      <c r="B59" s="29" t="s">
        <v>135</v>
      </c>
      <c r="C59" s="72" t="e">
        <f>C46</f>
        <v>#REF!</v>
      </c>
    </row>
    <row r="60" spans="2:4" x14ac:dyDescent="0.25">
      <c r="B60" s="29" t="s">
        <v>142</v>
      </c>
      <c r="C60" s="79" t="e">
        <f>C58/C59</f>
        <v>#REF!</v>
      </c>
    </row>
    <row r="61" spans="2:4" x14ac:dyDescent="0.25">
      <c r="C61" s="43"/>
    </row>
    <row r="63" spans="2:4" x14ac:dyDescent="0.25">
      <c r="B63" s="88"/>
      <c r="C63" s="88"/>
    </row>
    <row r="64" spans="2:4" x14ac:dyDescent="0.25">
      <c r="C64" s="86"/>
    </row>
    <row r="65" spans="2:3" x14ac:dyDescent="0.25">
      <c r="B65" s="87"/>
      <c r="C65" s="80"/>
    </row>
    <row r="66" spans="2:3" x14ac:dyDescent="0.25">
      <c r="B66" s="87"/>
      <c r="C66" s="80"/>
    </row>
    <row r="67" spans="2:3" x14ac:dyDescent="0.25">
      <c r="B67" s="87"/>
      <c r="C67" s="80"/>
    </row>
    <row r="68" spans="2:3" x14ac:dyDescent="0.25">
      <c r="B68" s="87"/>
      <c r="C68" s="80"/>
    </row>
    <row r="69" spans="2:3" x14ac:dyDescent="0.25">
      <c r="B69" s="87"/>
      <c r="C69" s="80"/>
    </row>
    <row r="70" spans="2:3" x14ac:dyDescent="0.25">
      <c r="B70" s="87"/>
      <c r="C70" s="80"/>
    </row>
    <row r="71" spans="2:3" x14ac:dyDescent="0.25">
      <c r="B71" s="87"/>
      <c r="C71" s="80"/>
    </row>
    <row r="72" spans="2:3" x14ac:dyDescent="0.25">
      <c r="B72" s="87"/>
      <c r="C72" s="80"/>
    </row>
    <row r="73" spans="2:3" x14ac:dyDescent="0.25">
      <c r="B73" s="87"/>
      <c r="C73" s="80"/>
    </row>
    <row r="74" spans="2:3" x14ac:dyDescent="0.25">
      <c r="C74" s="80"/>
    </row>
    <row r="75" spans="2:3" x14ac:dyDescent="0.25">
      <c r="B75" s="11" t="s">
        <v>16</v>
      </c>
      <c r="C75" s="85">
        <f>SUM(C65,C67,C69,C71,C73)</f>
        <v>0</v>
      </c>
    </row>
  </sheetData>
  <mergeCells count="6">
    <mergeCell ref="B53:C53"/>
    <mergeCell ref="B30:C30"/>
    <mergeCell ref="B42:C42"/>
    <mergeCell ref="B2:C2"/>
    <mergeCell ref="B10:C10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J89"/>
  <sheetViews>
    <sheetView topLeftCell="B19" zoomScale="93" zoomScaleNormal="93" workbookViewId="0">
      <selection activeCell="F9" sqref="F9"/>
    </sheetView>
  </sheetViews>
  <sheetFormatPr defaultRowHeight="15" x14ac:dyDescent="0.25"/>
  <cols>
    <col min="1" max="1" width="1.7109375" customWidth="1"/>
    <col min="2" max="2" width="11.7109375" customWidth="1"/>
    <col min="3" max="3" width="29.42578125" customWidth="1"/>
    <col min="4" max="4" width="30.7109375" style="43" customWidth="1"/>
    <col min="5" max="5" width="33.42578125" customWidth="1"/>
    <col min="6" max="6" width="37.85546875" customWidth="1"/>
  </cols>
  <sheetData>
    <row r="2" spans="3:8" x14ac:dyDescent="0.25">
      <c r="C2" s="176" t="s">
        <v>5</v>
      </c>
      <c r="D2" s="176"/>
      <c r="E2" s="176"/>
    </row>
    <row r="3" spans="3:8" x14ac:dyDescent="0.25">
      <c r="C3" s="177"/>
      <c r="D3" s="55" t="s">
        <v>42</v>
      </c>
      <c r="E3" s="28"/>
    </row>
    <row r="4" spans="3:8" x14ac:dyDescent="0.25">
      <c r="C4" s="178"/>
      <c r="D4" s="55" t="s">
        <v>0</v>
      </c>
      <c r="E4" s="29" t="s">
        <v>50</v>
      </c>
    </row>
    <row r="5" spans="3:8" ht="45" x14ac:dyDescent="0.25">
      <c r="C5" s="177"/>
      <c r="D5" s="177" t="s">
        <v>8</v>
      </c>
      <c r="E5" s="30" t="s">
        <v>48</v>
      </c>
      <c r="F5" s="6" t="s">
        <v>51</v>
      </c>
    </row>
    <row r="6" spans="3:8" x14ac:dyDescent="0.25">
      <c r="C6" s="179"/>
      <c r="D6" s="178"/>
      <c r="E6" s="1" t="s">
        <v>44</v>
      </c>
    </row>
    <row r="7" spans="3:8" ht="15" customHeight="1" x14ac:dyDescent="0.25">
      <c r="C7" s="179"/>
      <c r="D7" s="180" t="s">
        <v>45</v>
      </c>
      <c r="E7" s="29" t="s">
        <v>66</v>
      </c>
      <c r="H7" s="6"/>
    </row>
    <row r="8" spans="3:8" ht="45" x14ac:dyDescent="0.25">
      <c r="C8" s="179"/>
      <c r="D8" s="180"/>
      <c r="E8" s="31" t="s">
        <v>46</v>
      </c>
    </row>
    <row r="9" spans="3:8" ht="75" x14ac:dyDescent="0.25">
      <c r="C9" s="179"/>
      <c r="D9" s="180"/>
      <c r="E9" s="31" t="s">
        <v>4</v>
      </c>
    </row>
    <row r="10" spans="3:8" x14ac:dyDescent="0.25">
      <c r="C10" s="179"/>
      <c r="D10" s="181"/>
      <c r="E10" s="29" t="s">
        <v>67</v>
      </c>
    </row>
    <row r="11" spans="3:8" x14ac:dyDescent="0.25">
      <c r="C11" s="178"/>
      <c r="D11" s="174" t="s">
        <v>43</v>
      </c>
      <c r="E11" s="175"/>
    </row>
    <row r="12" spans="3:8" x14ac:dyDescent="0.25">
      <c r="C12" s="177"/>
      <c r="D12" s="56" t="s">
        <v>83</v>
      </c>
      <c r="E12" s="1" t="s">
        <v>77</v>
      </c>
    </row>
    <row r="13" spans="3:8" x14ac:dyDescent="0.25">
      <c r="C13" s="179"/>
      <c r="D13" s="57" t="s">
        <v>6</v>
      </c>
      <c r="E13" s="2" t="s">
        <v>78</v>
      </c>
    </row>
    <row r="14" spans="3:8" x14ac:dyDescent="0.25">
      <c r="C14" s="179"/>
      <c r="D14" s="57" t="s">
        <v>1</v>
      </c>
      <c r="E14" s="2" t="s">
        <v>79</v>
      </c>
    </row>
    <row r="15" spans="3:8" x14ac:dyDescent="0.25">
      <c r="C15" s="179"/>
      <c r="D15" s="57" t="s">
        <v>49</v>
      </c>
      <c r="E15" s="2" t="s">
        <v>80</v>
      </c>
    </row>
    <row r="16" spans="3:8" x14ac:dyDescent="0.25">
      <c r="C16" s="179"/>
      <c r="D16" s="57" t="s">
        <v>9</v>
      </c>
      <c r="E16" s="2" t="s">
        <v>81</v>
      </c>
    </row>
    <row r="17" spans="3:10" x14ac:dyDescent="0.25">
      <c r="C17" s="178"/>
      <c r="D17" s="58" t="s">
        <v>7</v>
      </c>
      <c r="E17" s="3" t="s">
        <v>82</v>
      </c>
    </row>
    <row r="18" spans="3:10" x14ac:dyDescent="0.25">
      <c r="C18" s="4"/>
      <c r="D18" s="5"/>
    </row>
    <row r="19" spans="3:10" x14ac:dyDescent="0.25">
      <c r="C19" s="71"/>
    </row>
    <row r="21" spans="3:10" x14ac:dyDescent="0.25">
      <c r="C21" s="182" t="s">
        <v>47</v>
      </c>
      <c r="D21" s="183"/>
    </row>
    <row r="22" spans="3:10" x14ac:dyDescent="0.25">
      <c r="C22" s="50" t="s">
        <v>17</v>
      </c>
      <c r="D22" s="59">
        <f>'Solar Calculator'!D5</f>
        <v>300</v>
      </c>
      <c r="F22" s="43" t="s">
        <v>61</v>
      </c>
    </row>
    <row r="23" spans="3:10" x14ac:dyDescent="0.25">
      <c r="C23" s="8" t="s">
        <v>10</v>
      </c>
      <c r="D23" s="60">
        <f>(200*21.8)/100</f>
        <v>43.6</v>
      </c>
    </row>
    <row r="24" spans="3:10" x14ac:dyDescent="0.25">
      <c r="C24" s="51" t="s">
        <v>15</v>
      </c>
      <c r="D24" s="61">
        <f>D22 - 200</f>
        <v>100</v>
      </c>
    </row>
    <row r="25" spans="3:10" x14ac:dyDescent="0.25">
      <c r="C25" s="8" t="s">
        <v>12</v>
      </c>
      <c r="D25" s="60">
        <f>(100*33.4)/100</f>
        <v>33.4</v>
      </c>
      <c r="F25" t="s">
        <v>18</v>
      </c>
    </row>
    <row r="26" spans="3:10" x14ac:dyDescent="0.25">
      <c r="C26" s="51" t="s">
        <v>15</v>
      </c>
      <c r="D26" s="61">
        <f>D24 - 100</f>
        <v>0</v>
      </c>
    </row>
    <row r="27" spans="3:10" ht="30.75" customHeight="1" x14ac:dyDescent="0.25">
      <c r="C27" s="8" t="s">
        <v>13</v>
      </c>
      <c r="D27" s="60">
        <f>(300*51.6)/100</f>
        <v>154.80000000000001</v>
      </c>
      <c r="H27" s="5" t="s">
        <v>52</v>
      </c>
      <c r="J27">
        <v>0.10267</v>
      </c>
    </row>
    <row r="28" spans="3:10" ht="21" customHeight="1" x14ac:dyDescent="0.25">
      <c r="C28" s="51" t="s">
        <v>15</v>
      </c>
      <c r="D28" s="61">
        <f>D26 - 300</f>
        <v>-300</v>
      </c>
      <c r="H28" s="5" t="s">
        <v>52</v>
      </c>
    </row>
    <row r="29" spans="3:10" x14ac:dyDescent="0.25">
      <c r="C29" s="8" t="s">
        <v>14</v>
      </c>
      <c r="D29" s="60">
        <f>(300*54.6)/100</f>
        <v>163.80000000000001</v>
      </c>
      <c r="F29" t="s">
        <v>19</v>
      </c>
    </row>
    <row r="30" spans="3:10" x14ac:dyDescent="0.25">
      <c r="C30" s="51" t="s">
        <v>15</v>
      </c>
      <c r="D30" s="61">
        <f>D28 - 300</f>
        <v>-600</v>
      </c>
      <c r="F30" t="s">
        <v>28</v>
      </c>
    </row>
    <row r="31" spans="3:10" x14ac:dyDescent="0.25">
      <c r="C31" s="8" t="s">
        <v>11</v>
      </c>
      <c r="D31" s="60">
        <f>(D30*57.1)/100</f>
        <v>-342.6</v>
      </c>
    </row>
    <row r="32" spans="3:10" x14ac:dyDescent="0.25">
      <c r="C32" s="50"/>
      <c r="D32" s="61"/>
    </row>
    <row r="33" spans="3:5" x14ac:dyDescent="0.25">
      <c r="C33" s="10" t="s">
        <v>16</v>
      </c>
      <c r="D33" s="62">
        <f>SUM(D23,D25,D27,D29,D31)</f>
        <v>53</v>
      </c>
    </row>
    <row r="34" spans="3:5" x14ac:dyDescent="0.25">
      <c r="C34" s="9" t="s">
        <v>20</v>
      </c>
      <c r="D34" s="63"/>
    </row>
    <row r="35" spans="3:5" x14ac:dyDescent="0.25">
      <c r="C35" s="11" t="s">
        <v>21</v>
      </c>
      <c r="D35" s="53"/>
    </row>
    <row r="38" spans="3:5" x14ac:dyDescent="0.25">
      <c r="C38" s="170" t="s">
        <v>86</v>
      </c>
      <c r="D38" s="171"/>
    </row>
    <row r="39" spans="3:5" x14ac:dyDescent="0.25">
      <c r="C39" s="47" t="s">
        <v>88</v>
      </c>
      <c r="D39" s="64">
        <v>2000</v>
      </c>
    </row>
    <row r="40" spans="3:5" x14ac:dyDescent="0.25">
      <c r="C40" s="47" t="s">
        <v>84</v>
      </c>
      <c r="D40" s="64">
        <v>250</v>
      </c>
    </row>
    <row r="41" spans="3:5" x14ac:dyDescent="0.25">
      <c r="C41" s="47" t="s">
        <v>87</v>
      </c>
      <c r="D41" s="64">
        <f>4*30</f>
        <v>120</v>
      </c>
    </row>
    <row r="42" spans="3:5" x14ac:dyDescent="0.25">
      <c r="C42" s="47" t="s">
        <v>90</v>
      </c>
      <c r="D42" s="65">
        <f>D39/D41</f>
        <v>16.666666666666668</v>
      </c>
    </row>
    <row r="43" spans="3:5" x14ac:dyDescent="0.25">
      <c r="C43" s="47" t="s">
        <v>85</v>
      </c>
      <c r="D43" s="65">
        <f>(D42*100)/250</f>
        <v>6.666666666666667</v>
      </c>
      <c r="E43" s="76" t="s">
        <v>89</v>
      </c>
    </row>
    <row r="45" spans="3:5" x14ac:dyDescent="0.25">
      <c r="E45" t="s">
        <v>91</v>
      </c>
    </row>
    <row r="46" spans="3:5" x14ac:dyDescent="0.25">
      <c r="C46" s="170" t="s">
        <v>68</v>
      </c>
      <c r="D46" s="171"/>
    </row>
    <row r="47" spans="3:5" x14ac:dyDescent="0.25">
      <c r="C47" s="67" t="s">
        <v>92</v>
      </c>
      <c r="D47" s="69">
        <f>D41*D43</f>
        <v>800</v>
      </c>
    </row>
    <row r="48" spans="3:5" x14ac:dyDescent="0.25">
      <c r="C48" s="67" t="s">
        <v>70</v>
      </c>
      <c r="D48" s="70">
        <v>0.15</v>
      </c>
      <c r="E48" t="s">
        <v>94</v>
      </c>
    </row>
    <row r="49" spans="3:5" x14ac:dyDescent="0.25">
      <c r="C49" s="47" t="s">
        <v>72</v>
      </c>
      <c r="D49" s="66">
        <f>D47*D48</f>
        <v>120</v>
      </c>
    </row>
    <row r="50" spans="3:5" x14ac:dyDescent="0.25">
      <c r="C50" s="47" t="s">
        <v>2</v>
      </c>
      <c r="D50" s="66">
        <f>D33</f>
        <v>53</v>
      </c>
    </row>
    <row r="51" spans="3:5" ht="30" x14ac:dyDescent="0.25">
      <c r="C51" s="54" t="s">
        <v>71</v>
      </c>
      <c r="D51" s="72">
        <f>D50-D49</f>
        <v>-67</v>
      </c>
    </row>
    <row r="52" spans="3:5" x14ac:dyDescent="0.25">
      <c r="C52" s="47" t="s">
        <v>69</v>
      </c>
      <c r="D52" s="66">
        <f>D51*12</f>
        <v>-804</v>
      </c>
    </row>
    <row r="53" spans="3:5" x14ac:dyDescent="0.25">
      <c r="C53" s="47" t="s">
        <v>93</v>
      </c>
      <c r="D53" s="66">
        <f>D52*25</f>
        <v>-20100</v>
      </c>
      <c r="E53" t="s">
        <v>95</v>
      </c>
    </row>
    <row r="54" spans="3:5" x14ac:dyDescent="0.25">
      <c r="C54" s="75"/>
      <c r="D54" s="77"/>
    </row>
    <row r="56" spans="3:5" x14ac:dyDescent="0.25">
      <c r="C56" s="170" t="s">
        <v>108</v>
      </c>
      <c r="D56" s="171"/>
    </row>
    <row r="57" spans="3:5" x14ac:dyDescent="0.25">
      <c r="C57" s="29" t="s">
        <v>99</v>
      </c>
      <c r="D57" s="74">
        <f>D42</f>
        <v>16.666666666666668</v>
      </c>
    </row>
    <row r="58" spans="3:5" x14ac:dyDescent="0.25">
      <c r="C58" s="29" t="s">
        <v>54</v>
      </c>
      <c r="D58" s="68"/>
      <c r="E58" t="s">
        <v>97</v>
      </c>
    </row>
    <row r="59" spans="3:5" x14ac:dyDescent="0.25">
      <c r="C59" s="29" t="s">
        <v>75</v>
      </c>
      <c r="D59" s="68"/>
      <c r="E59" t="s">
        <v>98</v>
      </c>
    </row>
    <row r="60" spans="3:5" x14ac:dyDescent="0.25">
      <c r="C60" s="29" t="s">
        <v>76</v>
      </c>
      <c r="D60" s="68"/>
      <c r="E60" t="s">
        <v>100</v>
      </c>
    </row>
    <row r="61" spans="3:5" x14ac:dyDescent="0.25">
      <c r="C61" s="29" t="s">
        <v>101</v>
      </c>
      <c r="D61" s="68">
        <f>D59*D60</f>
        <v>0</v>
      </c>
    </row>
    <row r="62" spans="3:5" x14ac:dyDescent="0.25">
      <c r="C62" s="29" t="s">
        <v>102</v>
      </c>
      <c r="D62" s="68">
        <f>(D57*D58)+D61</f>
        <v>0</v>
      </c>
      <c r="E62" t="s">
        <v>103</v>
      </c>
    </row>
    <row r="63" spans="3:5" x14ac:dyDescent="0.25">
      <c r="C63" s="29" t="s">
        <v>104</v>
      </c>
      <c r="D63" s="68"/>
    </row>
    <row r="64" spans="3:5" x14ac:dyDescent="0.25">
      <c r="C64" s="29" t="s">
        <v>105</v>
      </c>
      <c r="D64" s="68"/>
      <c r="E64" t="s">
        <v>96</v>
      </c>
    </row>
    <row r="65" spans="3:4" x14ac:dyDescent="0.25">
      <c r="C65" s="29" t="s">
        <v>106</v>
      </c>
      <c r="D65" s="68"/>
    </row>
    <row r="66" spans="3:4" x14ac:dyDescent="0.25">
      <c r="C66" s="29" t="s">
        <v>107</v>
      </c>
      <c r="D66" s="68"/>
    </row>
    <row r="70" spans="3:4" x14ac:dyDescent="0.25">
      <c r="C70" s="170" t="s">
        <v>73</v>
      </c>
      <c r="D70" s="171"/>
    </row>
    <row r="71" spans="3:4" x14ac:dyDescent="0.25">
      <c r="C71" s="184" t="s">
        <v>62</v>
      </c>
      <c r="D71" s="185"/>
    </row>
    <row r="72" spans="3:4" x14ac:dyDescent="0.25">
      <c r="C72" s="67"/>
      <c r="D72" s="70"/>
    </row>
    <row r="73" spans="3:4" x14ac:dyDescent="0.25">
      <c r="C73" s="47"/>
      <c r="D73" s="66"/>
    </row>
    <row r="74" spans="3:4" x14ac:dyDescent="0.25">
      <c r="C74" s="184" t="s">
        <v>53</v>
      </c>
      <c r="D74" s="185"/>
    </row>
    <row r="75" spans="3:4" x14ac:dyDescent="0.25">
      <c r="C75" s="47"/>
      <c r="D75" s="72"/>
    </row>
    <row r="76" spans="3:4" x14ac:dyDescent="0.25">
      <c r="C76" s="174" t="s">
        <v>74</v>
      </c>
      <c r="D76" s="186"/>
    </row>
    <row r="77" spans="3:4" x14ac:dyDescent="0.25">
      <c r="C77" s="29"/>
      <c r="D77" s="68"/>
    </row>
    <row r="78" spans="3:4" x14ac:dyDescent="0.25">
      <c r="C78" s="29"/>
      <c r="D78" s="68"/>
    </row>
    <row r="81" spans="3:4" x14ac:dyDescent="0.25">
      <c r="C81" s="170" t="s">
        <v>138</v>
      </c>
      <c r="D81" s="171"/>
    </row>
    <row r="82" spans="3:4" x14ac:dyDescent="0.25">
      <c r="C82" s="29" t="s">
        <v>132</v>
      </c>
      <c r="D82" s="74"/>
    </row>
    <row r="83" spans="3:4" x14ac:dyDescent="0.25">
      <c r="C83" s="29" t="s">
        <v>133</v>
      </c>
      <c r="D83" s="68"/>
    </row>
    <row r="84" spans="3:4" x14ac:dyDescent="0.25">
      <c r="C84" s="29" t="s">
        <v>134</v>
      </c>
      <c r="D84" s="68"/>
    </row>
    <row r="85" spans="3:4" x14ac:dyDescent="0.25">
      <c r="C85" s="29" t="s">
        <v>135</v>
      </c>
      <c r="D85" s="68"/>
    </row>
    <row r="86" spans="3:4" x14ac:dyDescent="0.25">
      <c r="C86" s="29" t="s">
        <v>137</v>
      </c>
      <c r="D86" s="68"/>
    </row>
    <row r="87" spans="3:4" x14ac:dyDescent="0.25">
      <c r="C87" s="29" t="s">
        <v>136</v>
      </c>
      <c r="D87" s="68"/>
    </row>
    <row r="88" spans="3:4" x14ac:dyDescent="0.25">
      <c r="C88" s="29" t="s">
        <v>134</v>
      </c>
      <c r="D88" s="68"/>
    </row>
    <row r="89" spans="3:4" x14ac:dyDescent="0.25">
      <c r="C89" s="29" t="s">
        <v>131</v>
      </c>
      <c r="D89" s="68"/>
    </row>
  </sheetData>
  <mergeCells count="16">
    <mergeCell ref="C81:D81"/>
    <mergeCell ref="C38:D38"/>
    <mergeCell ref="C56:D56"/>
    <mergeCell ref="C21:D21"/>
    <mergeCell ref="C12:C17"/>
    <mergeCell ref="C46:D46"/>
    <mergeCell ref="C70:D70"/>
    <mergeCell ref="C71:D71"/>
    <mergeCell ref="C74:D74"/>
    <mergeCell ref="C76:D76"/>
    <mergeCell ref="D11:E11"/>
    <mergeCell ref="C2:E2"/>
    <mergeCell ref="C3:C4"/>
    <mergeCell ref="C5:C11"/>
    <mergeCell ref="D5:D6"/>
    <mergeCell ref="D7:D10"/>
  </mergeCells>
  <dataValidations disablePrompts="1" xWindow="719" yWindow="331" count="6">
    <dataValidation allowBlank="1" showInputMessage="1" showErrorMessage="1" promptTitle="Input" prompt="Enter housing type" sqref="E3" xr:uid="{00000000-0002-0000-0300-000000000000}"/>
    <dataValidation allowBlank="1" showInputMessage="1" showErrorMessage="1" promptTitle="Input" prompt="Enter your monthly electric bill" sqref="E4" xr:uid="{00000000-0002-0000-0300-000001000000}"/>
    <dataValidation allowBlank="1" showInputMessage="1" showErrorMessage="1" promptTitle="Saving Plan" prompt="Get recommendation Solar Installation size based on electricity bill " sqref="E5" xr:uid="{00000000-0002-0000-0300-000002000000}"/>
    <dataValidation allowBlank="1" showInputMessage="1" showErrorMessage="1" promptTitle="Note" prompt="Make a different to enviroment_x000a_metric tons avoidance per year = taken off the road for 1 year = grown for 10 years" sqref="E6" xr:uid="{00000000-0002-0000-0300-000003000000}"/>
    <dataValidation allowBlank="1" showInputMessage="1" showErrorMessage="1" promptTitle="Note" prompt="3 Phase " sqref="E7" xr:uid="{00000000-0002-0000-0300-000004000000}"/>
    <dataValidation allowBlank="1" showInputMessage="1" showErrorMessage="1" promptTitle="Note" prompt="Get from solar residential formula_x000a_" sqref="E8" xr:uid="{00000000-0002-0000-0300-000005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topLeftCell="A19" zoomScaleNormal="100" workbookViewId="0">
      <selection activeCell="G11" sqref="G11"/>
    </sheetView>
  </sheetViews>
  <sheetFormatPr defaultColWidth="9.140625" defaultRowHeight="15" x14ac:dyDescent="0.25"/>
  <cols>
    <col min="1" max="8" width="10" customWidth="1"/>
    <col min="9" max="9" width="6.5703125" customWidth="1"/>
    <col min="10" max="10" width="6.7109375" customWidth="1"/>
  </cols>
  <sheetData>
    <row r="1" spans="1:9" ht="15" customHeight="1" x14ac:dyDescent="0.35">
      <c r="A1" s="18"/>
      <c r="B1" s="18"/>
      <c r="C1" s="18"/>
      <c r="D1" s="18"/>
      <c r="E1" s="18"/>
      <c r="F1" s="19"/>
      <c r="G1" s="20"/>
      <c r="H1" s="20"/>
      <c r="I1" s="21"/>
    </row>
    <row r="2" spans="1:9" ht="15" customHeight="1" x14ac:dyDescent="0.35">
      <c r="A2" s="18"/>
      <c r="B2" s="18"/>
      <c r="C2" s="18"/>
      <c r="D2" s="18"/>
      <c r="E2" s="18"/>
      <c r="F2" s="22"/>
      <c r="G2" s="18"/>
      <c r="H2" s="18"/>
      <c r="I2" s="23"/>
    </row>
    <row r="3" spans="1:9" ht="15" customHeight="1" thickBot="1" x14ac:dyDescent="0.4">
      <c r="A3" s="18"/>
      <c r="B3" s="18"/>
      <c r="C3" s="18"/>
      <c r="D3" s="18"/>
      <c r="E3" s="18"/>
      <c r="F3" s="24"/>
      <c r="G3" s="25"/>
      <c r="H3" s="25"/>
      <c r="I3" s="26"/>
    </row>
    <row r="5" spans="1:9" x14ac:dyDescent="0.25">
      <c r="G5" s="187" t="s">
        <v>34</v>
      </c>
      <c r="H5" s="187"/>
      <c r="I5" s="187"/>
    </row>
    <row r="6" spans="1:9" x14ac:dyDescent="0.25">
      <c r="G6" s="187" t="s">
        <v>34</v>
      </c>
      <c r="H6" s="187"/>
      <c r="I6" s="187"/>
    </row>
    <row r="7" spans="1:9" x14ac:dyDescent="0.25">
      <c r="G7" s="27"/>
      <c r="H7" s="27"/>
      <c r="I7" s="27"/>
    </row>
    <row r="9" spans="1:9" x14ac:dyDescent="0.25">
      <c r="A9" s="190" t="s">
        <v>29</v>
      </c>
      <c r="B9" s="190"/>
      <c r="C9" s="190"/>
      <c r="D9" s="190"/>
    </row>
    <row r="10" spans="1:9" x14ac:dyDescent="0.25">
      <c r="A10" s="5" t="s">
        <v>29</v>
      </c>
      <c r="B10" s="5"/>
      <c r="C10" s="5"/>
      <c r="D10" s="5"/>
    </row>
    <row r="11" spans="1:9" x14ac:dyDescent="0.25">
      <c r="A11" s="190" t="s">
        <v>29</v>
      </c>
      <c r="B11" s="190"/>
      <c r="C11" s="190"/>
      <c r="D11" s="190"/>
    </row>
    <row r="12" spans="1:9" x14ac:dyDescent="0.25">
      <c r="A12" s="190" t="s">
        <v>29</v>
      </c>
      <c r="B12" s="190"/>
      <c r="C12" s="190"/>
      <c r="D12" s="190"/>
    </row>
    <row r="15" spans="1:9" x14ac:dyDescent="0.25">
      <c r="A15" s="189" t="s">
        <v>40</v>
      </c>
      <c r="B15" s="189"/>
      <c r="C15" s="189"/>
      <c r="D15" s="189"/>
      <c r="E15" s="189"/>
      <c r="F15" s="189"/>
      <c r="G15" s="189"/>
      <c r="H15" s="189"/>
      <c r="I15" s="189"/>
    </row>
    <row r="16" spans="1:9" x14ac:dyDescent="0.25">
      <c r="A16" s="189" t="s">
        <v>40</v>
      </c>
      <c r="B16" s="189"/>
      <c r="C16" s="189"/>
      <c r="D16" s="189"/>
      <c r="E16" s="189"/>
      <c r="F16" s="189"/>
      <c r="G16" s="189"/>
      <c r="H16" s="189"/>
      <c r="I16" s="189"/>
    </row>
    <row r="17" spans="1:9" x14ac:dyDescent="0.25">
      <c r="A17" s="189" t="s">
        <v>35</v>
      </c>
      <c r="B17" s="189"/>
      <c r="C17" s="189"/>
      <c r="D17" s="189"/>
      <c r="E17" s="189"/>
      <c r="F17" s="189"/>
      <c r="G17" s="189"/>
      <c r="H17" s="189"/>
      <c r="I17" s="189"/>
    </row>
    <row r="19" spans="1:9" x14ac:dyDescent="0.25">
      <c r="A19" s="188" t="s">
        <v>30</v>
      </c>
      <c r="B19" s="188"/>
      <c r="C19" s="188"/>
      <c r="D19" s="188"/>
      <c r="E19" s="188"/>
      <c r="F19" s="188"/>
      <c r="G19" s="188"/>
      <c r="H19" s="188"/>
      <c r="I19" s="188"/>
    </row>
    <row r="20" spans="1:9" x14ac:dyDescent="0.25">
      <c r="A20" s="188" t="s">
        <v>31</v>
      </c>
      <c r="B20" s="188"/>
      <c r="C20" s="188"/>
      <c r="D20" s="188"/>
      <c r="E20" s="188"/>
      <c r="F20" s="188"/>
      <c r="G20" s="188"/>
      <c r="H20" s="188"/>
      <c r="I20" s="188"/>
    </row>
    <row r="21" spans="1:9" x14ac:dyDescent="0.25">
      <c r="A21" s="191" t="s">
        <v>38</v>
      </c>
      <c r="B21" s="191"/>
      <c r="C21" s="191"/>
      <c r="D21" s="191"/>
      <c r="E21" s="191"/>
      <c r="F21" s="191"/>
      <c r="G21" s="191"/>
      <c r="H21" s="191"/>
      <c r="I21" s="191"/>
    </row>
    <row r="22" spans="1:9" x14ac:dyDescent="0.25">
      <c r="A22" s="191" t="s">
        <v>37</v>
      </c>
      <c r="B22" s="191"/>
      <c r="C22" s="191"/>
      <c r="D22" s="176"/>
      <c r="E22" s="176"/>
      <c r="F22" s="176"/>
      <c r="G22" s="176"/>
      <c r="H22" s="176"/>
      <c r="I22" s="176"/>
    </row>
    <row r="23" spans="1:9" x14ac:dyDescent="0.25">
      <c r="A23" s="188" t="s">
        <v>39</v>
      </c>
      <c r="B23" s="188"/>
      <c r="C23" s="188"/>
      <c r="D23" s="188"/>
      <c r="E23" s="188"/>
      <c r="F23" s="188"/>
      <c r="G23" s="188"/>
      <c r="H23" s="188"/>
      <c r="I23" s="188"/>
    </row>
    <row r="24" spans="1:9" x14ac:dyDescent="0.25">
      <c r="A24" s="188" t="s">
        <v>32</v>
      </c>
      <c r="B24" s="188"/>
      <c r="C24" s="188"/>
      <c r="D24" s="188" t="s">
        <v>33</v>
      </c>
      <c r="E24" s="188"/>
      <c r="F24" s="188"/>
      <c r="G24" s="188"/>
      <c r="H24" s="188"/>
      <c r="I24" s="188"/>
    </row>
    <row r="26" spans="1:9" x14ac:dyDescent="0.25">
      <c r="A26" s="189" t="s">
        <v>40</v>
      </c>
      <c r="B26" s="189"/>
      <c r="C26" s="189"/>
      <c r="D26" s="189"/>
      <c r="E26" s="189"/>
      <c r="F26" s="189"/>
      <c r="G26" s="189"/>
      <c r="H26" s="189"/>
      <c r="I26" s="189"/>
    </row>
    <row r="27" spans="1:9" x14ac:dyDescent="0.25">
      <c r="A27" s="189" t="s">
        <v>40</v>
      </c>
      <c r="B27" s="189"/>
      <c r="C27" s="189"/>
      <c r="D27" s="189"/>
      <c r="E27" s="189"/>
      <c r="F27" s="189"/>
      <c r="G27" s="189"/>
      <c r="H27" s="189"/>
      <c r="I27" s="189"/>
    </row>
    <row r="28" spans="1:9" x14ac:dyDescent="0.25">
      <c r="A28" s="189" t="s">
        <v>36</v>
      </c>
      <c r="B28" s="189"/>
      <c r="C28" s="189"/>
      <c r="D28" s="189"/>
      <c r="E28" s="189"/>
      <c r="F28" s="189"/>
      <c r="G28" s="189"/>
      <c r="H28" s="189"/>
      <c r="I28" s="189"/>
    </row>
    <row r="30" spans="1:9" x14ac:dyDescent="0.25">
      <c r="A30" t="s">
        <v>41</v>
      </c>
    </row>
    <row r="32" spans="1:9" x14ac:dyDescent="0.25">
      <c r="A32" s="189" t="s">
        <v>40</v>
      </c>
      <c r="B32" s="189"/>
      <c r="C32" s="189"/>
      <c r="D32" s="189"/>
      <c r="E32" s="189"/>
      <c r="F32" s="189"/>
      <c r="G32" s="189"/>
      <c r="H32" s="189"/>
      <c r="I32" s="189"/>
    </row>
    <row r="33" spans="1:9" x14ac:dyDescent="0.25">
      <c r="A33" s="189" t="s">
        <v>40</v>
      </c>
      <c r="B33" s="189"/>
      <c r="C33" s="189"/>
      <c r="D33" s="189"/>
      <c r="E33" s="189"/>
      <c r="F33" s="189"/>
      <c r="G33" s="189"/>
      <c r="H33" s="189"/>
      <c r="I33" s="189"/>
    </row>
  </sheetData>
  <mergeCells count="25">
    <mergeCell ref="A32:I32"/>
    <mergeCell ref="A33:I33"/>
    <mergeCell ref="A22:C22"/>
    <mergeCell ref="D22:I22"/>
    <mergeCell ref="A21:C21"/>
    <mergeCell ref="D21:I21"/>
    <mergeCell ref="A26:I26"/>
    <mergeCell ref="A27:I27"/>
    <mergeCell ref="A28:I28"/>
    <mergeCell ref="A24:C24"/>
    <mergeCell ref="D24:I24"/>
    <mergeCell ref="G6:I6"/>
    <mergeCell ref="G5:I5"/>
    <mergeCell ref="A19:C19"/>
    <mergeCell ref="A20:C20"/>
    <mergeCell ref="A23:C23"/>
    <mergeCell ref="D19:I19"/>
    <mergeCell ref="D20:I20"/>
    <mergeCell ref="D23:I23"/>
    <mergeCell ref="A15:I15"/>
    <mergeCell ref="A16:I16"/>
    <mergeCell ref="A17:I17"/>
    <mergeCell ref="A12:D12"/>
    <mergeCell ref="A11:D11"/>
    <mergeCell ref="A9:D9"/>
  </mergeCells>
  <pageMargins left="0.7" right="0.7" top="0.75" bottom="0.75" header="0.3" footer="0.3"/>
  <pageSetup paperSize="9" orientation="portrait" r:id="rId1"/>
  <headerFooter>
    <oddHeader>&amp;C&amp;18First Reminder Solar Bill Statement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3"/>
  <sheetViews>
    <sheetView workbookViewId="0">
      <selection activeCell="C21" sqref="C21"/>
    </sheetView>
  </sheetViews>
  <sheetFormatPr defaultRowHeight="15" x14ac:dyDescent="0.25"/>
  <cols>
    <col min="1" max="1" width="18.5703125" style="4" customWidth="1"/>
    <col min="2" max="2" width="18.5703125" customWidth="1"/>
    <col min="3" max="3" width="17.85546875" customWidth="1"/>
    <col min="5" max="5" width="19" customWidth="1"/>
  </cols>
  <sheetData>
    <row r="2" spans="1:5" x14ac:dyDescent="0.25">
      <c r="A2" s="12" t="s">
        <v>55</v>
      </c>
      <c r="B2" s="38" t="s">
        <v>22</v>
      </c>
      <c r="C2" s="42" t="s">
        <v>23</v>
      </c>
      <c r="D2" s="12" t="s">
        <v>59</v>
      </c>
      <c r="E2" s="12" t="s">
        <v>54</v>
      </c>
    </row>
    <row r="3" spans="1:5" x14ac:dyDescent="0.25">
      <c r="A3" s="36">
        <v>1</v>
      </c>
      <c r="B3" s="13" t="s">
        <v>25</v>
      </c>
      <c r="C3" s="179" t="s">
        <v>60</v>
      </c>
      <c r="D3" s="179" t="s">
        <v>58</v>
      </c>
      <c r="E3" s="44">
        <v>3</v>
      </c>
    </row>
    <row r="4" spans="1:5" x14ac:dyDescent="0.25">
      <c r="A4" s="36">
        <v>2</v>
      </c>
      <c r="B4" s="13" t="s">
        <v>26</v>
      </c>
      <c r="C4" s="179"/>
      <c r="D4" s="179"/>
      <c r="E4" s="44">
        <v>3.5</v>
      </c>
    </row>
    <row r="5" spans="1:5" x14ac:dyDescent="0.25">
      <c r="A5" s="36">
        <v>3</v>
      </c>
      <c r="B5" s="13" t="s">
        <v>27</v>
      </c>
      <c r="C5" s="179"/>
      <c r="D5" s="179"/>
      <c r="E5" s="44">
        <v>4</v>
      </c>
    </row>
    <row r="6" spans="1:5" x14ac:dyDescent="0.25">
      <c r="A6" s="35"/>
      <c r="B6" s="14"/>
      <c r="C6" s="178"/>
      <c r="D6" s="178"/>
      <c r="E6" s="45">
        <v>4.5</v>
      </c>
    </row>
    <row r="8" spans="1:5" x14ac:dyDescent="0.25">
      <c r="A8" s="12" t="s">
        <v>55</v>
      </c>
      <c r="B8" s="15" t="s">
        <v>22</v>
      </c>
      <c r="C8" s="37" t="s">
        <v>23</v>
      </c>
      <c r="D8" s="39" t="s">
        <v>24</v>
      </c>
      <c r="E8" s="16" t="s">
        <v>54</v>
      </c>
    </row>
    <row r="9" spans="1:5" x14ac:dyDescent="0.25">
      <c r="A9" s="12"/>
      <c r="B9" s="12"/>
      <c r="C9" s="38">
        <v>500</v>
      </c>
      <c r="D9" s="17" t="s">
        <v>24</v>
      </c>
      <c r="E9" s="46">
        <v>3</v>
      </c>
    </row>
    <row r="10" spans="1:5" x14ac:dyDescent="0.25">
      <c r="B10" s="4"/>
      <c r="C10" s="4"/>
      <c r="D10" s="4"/>
      <c r="E10" s="32"/>
    </row>
    <row r="11" spans="1:5" x14ac:dyDescent="0.25">
      <c r="A11" s="15" t="s">
        <v>57</v>
      </c>
      <c r="B11" s="15"/>
      <c r="C11" s="40"/>
      <c r="D11" s="34"/>
      <c r="E11" s="4"/>
    </row>
    <row r="12" spans="1:5" x14ac:dyDescent="0.25">
      <c r="A12" s="13" t="s">
        <v>157</v>
      </c>
      <c r="B12" s="13"/>
      <c r="C12" s="41"/>
      <c r="D12" s="4"/>
      <c r="E12" s="32"/>
    </row>
    <row r="13" spans="1:5" x14ac:dyDescent="0.25">
      <c r="A13" s="14" t="s">
        <v>56</v>
      </c>
      <c r="B13" s="33"/>
      <c r="C13" s="7"/>
    </row>
  </sheetData>
  <mergeCells count="2">
    <mergeCell ref="C3:C6"/>
    <mergeCell ref="D3:D6"/>
  </mergeCells>
  <dataValidations count="3">
    <dataValidation allowBlank="1" showInputMessage="1" showErrorMessage="1" prompt="Enter Electric Bill_x000a_" sqref="C2 C8 C11" xr:uid="{00000000-0002-0000-0500-000000000000}"/>
    <dataValidation type="list" allowBlank="1" showInputMessage="1" showErrorMessage="1" sqref="A9" xr:uid="{00000000-0002-0000-0500-000001000000}">
      <formula1>"ListPhase"</formula1>
    </dataValidation>
    <dataValidation type="list" allowBlank="1" showInputMessage="1" showErrorMessage="1" sqref="B9" xr:uid="{00000000-0002-0000-0500-000002000000}">
      <formula1>"ListC"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Solar Calculator</vt:lpstr>
      <vt:lpstr>Solar Calculator Formula</vt:lpstr>
      <vt:lpstr>Package</vt:lpstr>
      <vt:lpstr>Solar Table</vt:lpstr>
      <vt:lpstr>draft 1</vt:lpstr>
      <vt:lpstr>Note</vt:lpstr>
      <vt:lpstr>Sheet2</vt:lpstr>
      <vt:lpstr>Financial Plan</vt:lpstr>
      <vt:lpstr>ListC</vt:lpstr>
      <vt:lpstr>ListCharge</vt:lpstr>
      <vt:lpstr>ListP</vt:lpstr>
      <vt:lpstr>ListPhase</vt:lpstr>
      <vt:lpstr>ListRate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nadzifah</dc:creator>
  <cp:lastModifiedBy>Amirul Siddiq Abdul Manaf</cp:lastModifiedBy>
  <cp:lastPrinted>2022-02-17T04:39:17Z</cp:lastPrinted>
  <dcterms:created xsi:type="dcterms:W3CDTF">2022-02-16T06:44:10Z</dcterms:created>
  <dcterms:modified xsi:type="dcterms:W3CDTF">2023-03-14T01:20:28Z</dcterms:modified>
</cp:coreProperties>
</file>